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fileSharing readOnlyRecommended="1"/>
  <workbookPr/>
  <mc:AlternateContent xmlns:mc="http://schemas.openxmlformats.org/markup-compatibility/2006">
    <mc:Choice Requires="x15">
      <x15ac:absPath xmlns:x15ac="http://schemas.microsoft.com/office/spreadsheetml/2010/11/ac" url="https://skillsdevelopmentscotland.sharepoint.com/sites/IShare/SA/Key/CESAP Pathfinder Work/CESAP 2024-25/Scotwind Brochure Project/Drafts/Stage 2 Output/15.1.25 Latest Version/"/>
    </mc:Choice>
  </mc:AlternateContent>
  <xr:revisionPtr revIDLastSave="7" documentId="8_{BBD25AB9-BF11-4EF8-A7DA-0E04AB6A87FA}" xr6:coauthVersionLast="47" xr6:coauthVersionMax="47" xr10:uidLastSave="{3D2E9C2B-8FE2-430D-B5BE-F18C39489D24}"/>
  <bookViews>
    <workbookView xWindow="-110" yWindow="-110" windowWidth="19420" windowHeight="11620" xr2:uid="{00000000-000D-0000-FFFF-FFFF00000000}"/>
  </bookViews>
  <sheets>
    <sheet name="Notes" sheetId="19" r:id="rId1"/>
    <sheet name="Job Descriptions" sheetId="18" r:id="rId2"/>
    <sheet name="Job Descriptions (alt) (2)" sheetId="12"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6" i="18" l="1"/>
  <c r="F106" i="18"/>
  <c r="E106" i="18"/>
  <c r="D106" i="18"/>
  <c r="G105" i="18"/>
  <c r="F105" i="18"/>
  <c r="E105" i="18"/>
  <c r="D105" i="18"/>
  <c r="G104" i="18"/>
  <c r="F104" i="18"/>
  <c r="E104" i="18"/>
  <c r="D104" i="18"/>
  <c r="G103" i="18"/>
  <c r="F103" i="18"/>
  <c r="E103" i="18"/>
  <c r="D103" i="18"/>
  <c r="G102" i="18"/>
  <c r="F102" i="18"/>
  <c r="E102" i="18"/>
  <c r="D102" i="18"/>
  <c r="G101" i="18"/>
  <c r="F101" i="18"/>
  <c r="E101" i="18"/>
  <c r="D101" i="18"/>
  <c r="G100" i="18"/>
  <c r="F100" i="18"/>
  <c r="E100" i="18"/>
  <c r="D100" i="18"/>
  <c r="G99" i="18"/>
  <c r="F99" i="18"/>
  <c r="E99" i="18"/>
  <c r="D99" i="18"/>
  <c r="G98" i="18"/>
  <c r="F98" i="18"/>
  <c r="E98" i="18"/>
  <c r="D98" i="18"/>
  <c r="D93" i="18"/>
  <c r="D92" i="18"/>
  <c r="D91" i="18"/>
  <c r="F107" i="18" l="1"/>
  <c r="D107" i="18"/>
  <c r="E107" i="18"/>
  <c r="G107" i="18"/>
  <c r="C145" i="12" l="1"/>
  <c r="D145" i="12"/>
  <c r="D154" i="12" s="1"/>
  <c r="E145" i="12"/>
  <c r="F145" i="12"/>
  <c r="C146" i="12"/>
  <c r="D146" i="12"/>
  <c r="E146" i="12"/>
  <c r="F146" i="12"/>
  <c r="C147" i="12"/>
  <c r="D147" i="12"/>
  <c r="E147" i="12"/>
  <c r="F147" i="12"/>
  <c r="C148" i="12"/>
  <c r="D148" i="12"/>
  <c r="E148" i="12"/>
  <c r="F148" i="12"/>
  <c r="C149" i="12"/>
  <c r="D149" i="12"/>
  <c r="E149" i="12"/>
  <c r="F149" i="12"/>
  <c r="C150" i="12"/>
  <c r="D150" i="12"/>
  <c r="E150" i="12"/>
  <c r="F150" i="12"/>
  <c r="C151" i="12"/>
  <c r="D151" i="12"/>
  <c r="E151" i="12"/>
  <c r="F151" i="12"/>
  <c r="C152" i="12"/>
  <c r="D152" i="12"/>
  <c r="E152" i="12"/>
  <c r="F152" i="12"/>
  <c r="C153" i="12"/>
  <c r="D153" i="12"/>
  <c r="E153" i="12"/>
  <c r="F153" i="12"/>
  <c r="C154" i="12"/>
  <c r="E154" i="12"/>
  <c r="F154" i="12"/>
  <c r="C134" i="12"/>
  <c r="C135" i="12"/>
  <c r="C136" i="12"/>
  <c r="C137" i="12"/>
  <c r="C138" i="12"/>
  <c r="C127" i="12"/>
  <c r="C128" i="12"/>
  <c r="C131" i="12" s="1"/>
  <c r="C129" i="12"/>
  <c r="C130" i="12"/>
  <c r="C101" i="12"/>
  <c r="D101" i="12"/>
  <c r="E101" i="12"/>
  <c r="F101" i="12"/>
  <c r="C102" i="12"/>
  <c r="C123" i="12" s="1"/>
  <c r="D102" i="12"/>
  <c r="D123" i="12" s="1"/>
  <c r="E102" i="12"/>
  <c r="F102" i="12"/>
  <c r="F123" i="12" s="1"/>
  <c r="C103" i="12"/>
  <c r="D103" i="12"/>
  <c r="E103" i="12"/>
  <c r="F103" i="12"/>
  <c r="C104" i="12"/>
  <c r="D104" i="12"/>
  <c r="E104" i="12"/>
  <c r="F104" i="12"/>
  <c r="C105" i="12"/>
  <c r="D105" i="12"/>
  <c r="E105" i="12"/>
  <c r="F105" i="12"/>
  <c r="C106" i="12"/>
  <c r="D106" i="12"/>
  <c r="E106" i="12"/>
  <c r="F106" i="12"/>
  <c r="C107" i="12"/>
  <c r="D107" i="12"/>
  <c r="E107" i="12"/>
  <c r="F107" i="12"/>
  <c r="C108" i="12"/>
  <c r="D108" i="12"/>
  <c r="E108" i="12"/>
  <c r="F108" i="12"/>
  <c r="C109" i="12"/>
  <c r="D109" i="12"/>
  <c r="E109" i="12"/>
  <c r="F109" i="12"/>
  <c r="C110" i="12"/>
  <c r="D110" i="12"/>
  <c r="E110" i="12"/>
  <c r="F110" i="12"/>
  <c r="C111" i="12"/>
  <c r="D111" i="12"/>
  <c r="E111" i="12"/>
  <c r="F111" i="12"/>
  <c r="C112" i="12"/>
  <c r="D112" i="12"/>
  <c r="E112" i="12"/>
  <c r="F112" i="12"/>
  <c r="C113" i="12"/>
  <c r="D113" i="12"/>
  <c r="E113" i="12"/>
  <c r="F113" i="12"/>
  <c r="C114" i="12"/>
  <c r="D114" i="12"/>
  <c r="E114" i="12"/>
  <c r="F114" i="12"/>
  <c r="C115" i="12"/>
  <c r="D115" i="12"/>
  <c r="E115" i="12"/>
  <c r="F115" i="12"/>
  <c r="C116" i="12"/>
  <c r="D116" i="12"/>
  <c r="E116" i="12"/>
  <c r="F116" i="12"/>
  <c r="C117" i="12"/>
  <c r="D117" i="12"/>
  <c r="E117" i="12"/>
  <c r="F117" i="12"/>
  <c r="C118" i="12"/>
  <c r="D118" i="12"/>
  <c r="E118" i="12"/>
  <c r="F118" i="12"/>
  <c r="C119" i="12"/>
  <c r="D119" i="12"/>
  <c r="E119" i="12"/>
  <c r="F119" i="12"/>
  <c r="C120" i="12"/>
  <c r="D120" i="12"/>
  <c r="E120" i="12"/>
  <c r="F120" i="12"/>
  <c r="C121" i="12"/>
  <c r="D121" i="12"/>
  <c r="E121" i="12"/>
  <c r="E123" i="12" s="1"/>
  <c r="F121" i="12"/>
  <c r="C122" i="12"/>
  <c r="D122" i="12"/>
  <c r="E122" i="12"/>
  <c r="F122" i="12"/>
  <c r="N86" i="12"/>
  <c r="N87" i="12"/>
  <c r="N88" i="12"/>
  <c r="N89" i="12"/>
  <c r="N90" i="12"/>
  <c r="N91" i="12"/>
  <c r="D92" i="12"/>
  <c r="E92" i="12"/>
  <c r="F92" i="12"/>
  <c r="G92" i="12"/>
  <c r="H92" i="12"/>
  <c r="N69" i="12"/>
  <c r="N70" i="12"/>
  <c r="N71" i="12"/>
  <c r="N72" i="12"/>
  <c r="N73" i="12"/>
  <c r="N74" i="12"/>
  <c r="N75" i="12"/>
  <c r="N76" i="12"/>
  <c r="N77" i="12"/>
  <c r="N78" i="12"/>
  <c r="N79" i="12"/>
  <c r="N80" i="12"/>
  <c r="N81" i="12"/>
  <c r="N82" i="12"/>
  <c r="N83" i="12"/>
  <c r="N84" i="12"/>
  <c r="N62" i="12"/>
  <c r="N63" i="12"/>
  <c r="N64" i="12"/>
  <c r="N65" i="12"/>
  <c r="N66" i="12"/>
  <c r="N67" i="12"/>
  <c r="N41" i="12"/>
  <c r="N42" i="12"/>
  <c r="N43" i="12"/>
  <c r="N44" i="12"/>
  <c r="N45" i="12"/>
  <c r="N46" i="12"/>
  <c r="N47" i="12"/>
  <c r="N48" i="12"/>
  <c r="N49" i="12"/>
  <c r="N50" i="12"/>
  <c r="N51" i="12"/>
  <c r="N52" i="12"/>
  <c r="N53" i="12"/>
  <c r="N54" i="12"/>
  <c r="N55" i="12"/>
  <c r="N56" i="12"/>
  <c r="N57" i="12"/>
  <c r="N58" i="12"/>
  <c r="N59" i="12"/>
  <c r="N60" i="12"/>
  <c r="N29" i="12"/>
  <c r="N30" i="12"/>
  <c r="N31" i="12"/>
  <c r="N32" i="12"/>
  <c r="N33" i="12"/>
  <c r="N34" i="12"/>
  <c r="N35" i="12"/>
  <c r="N36" i="12"/>
  <c r="N37" i="12"/>
  <c r="N38" i="12"/>
  <c r="N39" i="12"/>
  <c r="N23" i="12"/>
  <c r="N24" i="12"/>
  <c r="N25" i="12"/>
  <c r="N26" i="12"/>
  <c r="N27" i="12"/>
  <c r="N3" i="12"/>
  <c r="N4" i="12"/>
  <c r="N5" i="12"/>
  <c r="N6" i="12"/>
  <c r="N7" i="12"/>
  <c r="N8" i="12"/>
  <c r="N9" i="12"/>
  <c r="N10" i="12"/>
  <c r="N11" i="12"/>
  <c r="N12" i="12"/>
  <c r="N13" i="12"/>
  <c r="N14" i="12"/>
  <c r="N15" i="12"/>
  <c r="N16" i="12"/>
  <c r="N17" i="12"/>
  <c r="N18" i="12"/>
  <c r="N19" i="12"/>
  <c r="N20" i="12"/>
  <c r="N21"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tc={CC9A53D3-9DC8-472F-8E8B-3A8BD253BF81}</author>
    <author>tc={F7F5950C-96F8-4503-A4C9-A8F6371FC835}</author>
    <author>tc={F4EDF33E-1518-4AD1-9F2C-C70AF6A59562}</author>
    <author>tc={2DA19837-EB09-4C11-B621-92B0FF8D1425}</author>
    <author>tc={FFFEB0F8-B7CE-4197-ABE7-3976DB44DF84}</author>
    <author>tc={C34F7820-D067-4252-9FD2-55D00F146517}</author>
    <author>tc={28B48E1D-FF33-4635-89E1-0E1D36462CB9}</author>
    <author>tc={0F977218-B1FB-405A-841C-7805DC675A03}</author>
    <author>tc={E27E62D6-E7CD-4E47-93CA-ECE91AD5FDF6}</author>
    <author>tc={F6BC9EDF-C057-4940-BDC8-BCFE0D3EFA03}</author>
    <author>tc={5F7B7C1F-5FD5-498E-8422-C757521F39AB}</author>
    <author>tc={7D02B46C-80BE-4BDA-A5F4-54F019FEEC24}</author>
    <author>tc={A979BDD9-DD60-4739-82F5-563BAFBF46C1}</author>
    <author>tc={6EBEA9FF-1562-4981-9DAF-073EA74D1CDB}</author>
    <author>tc={9D1191ED-9FEC-4407-9496-250CB8401F9B}</author>
    <author>tc={7DE391B3-8B51-4E5F-B6C3-C6AE024BEC26}</author>
    <author>tc={6BC7C1A5-7F0B-4771-94A7-36DC1319C0ED}</author>
    <author>tc={6D72735C-6744-47E7-A80C-A610A47AE869}</author>
    <author>tc={EF000AB8-EDCC-47EE-8D4A-8E48B24E9F6F}</author>
    <author>tc={EC800129-F02F-442A-A942-1A6A223B9D38}</author>
    <author>tc={70B905D2-CF80-4F9A-B991-477CFC0D9B66}</author>
    <author>tc={9924B48C-4189-477B-9062-7A6C136F583D}</author>
    <author>tc={2F3F40C0-FDE8-43A7-9DD8-4C12999679FD}</author>
    <author>tc={7B906AD9-B82A-4758-80A6-D077F291637A}</author>
    <author>tc={225FAC3C-B99B-4CA0-AAF4-979D2BDB43A1}</author>
    <author>tc={0F3A4055-789C-471F-A6B0-638FADE28EF6}</author>
    <author>tc={E73559A0-00A6-4FAA-B84A-D930DD3A2E51}</author>
    <author>tc={DDE24B75-551B-4C3A-81F6-17A12CC203E3}</author>
    <author>tc={24777FD8-97B4-4938-B3BF-03A38841A091}</author>
    <author>tc={FEB1E56A-6BC7-463A-BBEF-552FF40D9D55}</author>
    <author>tc={93D7168D-4D87-472E-B7D3-9AFDBDD5D753}</author>
    <author>tc={B39FD081-2909-4561-A02F-F53B73F2D5E9}</author>
    <author>tc={B79CC823-C552-4C93-BB8A-7A66106A7726}</author>
    <author>tc={E3714D1F-FF03-498A-8791-98DB07896EAC}</author>
    <author>tc={3125F067-30FF-45C6-B86D-DD71B3802176}</author>
    <author>tc={95E06C98-FBEB-48D1-8022-B3E0B74954C9}</author>
    <author>tc={6273D49F-FC2F-4C9D-8696-27C488B74774}</author>
    <author>tc={E4CE650E-4654-45A9-8DBC-6390F07B8099}</author>
    <author>tc={9A15E8CF-7FA8-4D1C-BF27-8001F3AB2FA0}</author>
    <author>tc={37210D2E-1984-4DCF-BF10-051F22D26E41}</author>
    <author>tc={36F1476F-801F-49FC-83C6-BA6206E5248C}</author>
    <author>tc={3178F1BB-51B6-4AC5-B04C-E14D889C81DE}</author>
    <author>tc={BB55B53E-F4CA-480D-A938-E0D99047ADAF}</author>
    <author>tc={6A1C270D-A634-486C-99CB-E7B024EDAFAC}</author>
    <author>tc={DF2FC8BE-8438-464E-B90C-AAF6C05D51BA}</author>
    <author>tc={E3D43696-9987-4C9A-A283-2AA1DCEB69E4}</author>
    <author>tc={2B702DB9-7F25-4FC3-91A8-049B06A9712A}</author>
    <author>tc={1C5AA006-9CAB-4FFE-AD22-28E8ABDDB5C1}</author>
    <author>tc={86DAE5E0-F1F9-4877-9E65-56E52D4B667B}</author>
    <author>tc={EB7936CD-6F2F-4C54-8D04-AE0344936BC6}</author>
    <author>tc={04A1C0DD-EA09-48A7-BAB7-9AF2C29601F4}</author>
    <author>tc={C74F2DD5-669C-435F-91D9-CCE0A0A37D77}</author>
    <author>tc={1FB2EC34-5553-4FED-86EB-EBF1F9916483}</author>
    <author>tc={50693C0B-2A26-4B1A-9648-69DB506D6856}</author>
    <author>tc={8A2A7D7B-E43B-4996-B758-C71AED687396}</author>
    <author>tc={E67A9388-E8DE-46E7-9D64-2CD8DD2F5527}</author>
    <author>tc={58B8E533-29E5-411C-89C3-B6B467C1D97A}</author>
    <author>tc={27AE922B-57BA-4B46-BBF7-FC96947D2BD3}</author>
    <author>tc={D1663195-43F8-4DE2-BE4E-044C05C817EC}</author>
    <author>tc={CA013308-5EA9-4989-A82F-FA8F5C615AB7}</author>
    <author>tc={52B616D8-0039-4A14-8F73-452B64161E0F}</author>
    <author>tc={67E47A81-A3B5-47AA-A10C-CE5E7BBD897C}</author>
    <author>tc={C73C4BA0-0077-4094-9303-A66FBFB4F98B}</author>
    <author>tc={1BFF14CB-9E05-47CE-A0BA-1E68C22DB4DF}</author>
    <author>tc={21BA3550-6384-4210-8442-66F4DBCC0A42}</author>
    <author>tc={88BC2DDB-0375-41F5-8FA6-883EE56DFF9D}</author>
    <author>tc={2B6784F1-69E9-4DCF-9E4B-C46643ACEC4A}</author>
    <author>tc={2A21899A-2893-41C1-B22D-6E902417D6D7}</author>
    <author>tc={D32E9A49-0EFD-4970-99DE-AB92C91CA5A0}</author>
    <author>tc={EDEF5F6E-F37B-4336-807D-0DA2CE8A4FAB}</author>
    <author>tc={308AF68B-917C-4B8F-A747-34EAF1A800D2}</author>
    <author>tc={DA4233A8-C3FA-4757-93E9-F90DCA34F9A8}</author>
    <author>tc={CEB7A880-89AB-4DF4-9DF1-13FD59A25767}</author>
    <author>tc={61C1D537-8D55-4EA2-9C1A-F980B9C64431}</author>
    <author>tc={80C0FE32-FFE1-4CA0-8520-D094CAA1F4A1}</author>
    <author>tc={77DEAEDF-77E2-43C9-94F7-F0BE80B331DD}</author>
    <author>tc={94089553-DC54-412E-ADEB-05227614E0DE}</author>
    <author>tc={73F97020-8E1E-4F25-84D5-953C42145966}</author>
    <author>tc={19BA1D61-56CF-44BF-9C69-A11EAFC1FB2D}</author>
    <author>tc={69ECAA50-1625-4D0F-80C5-4E26A9997072}</author>
    <author>tc={9A10E63B-7E58-4DF4-99B9-87ADFA276E9C}</author>
    <author>tc={B8ED0DD2-7A6D-4C21-B552-9757FF73360D}</author>
    <author>tc={3F42227F-6344-4E7F-BF63-9BD08216DF30}</author>
    <author>tc={8B1ECD73-9FEF-4B80-86CC-C3A9C2ACBE1D}</author>
    <author>tc={0DA8469F-DC4D-4A45-8211-39EA56554902}</author>
  </authors>
  <commentList>
    <comment ref="C3" authorId="0" shapeId="0" xr:uid="{CC9A53D3-9DC8-472F-8E8B-3A8BD253BF81}">
      <text>
        <t>[Threaded comment]
Your version of Excel allows you to read this threaded comment; however, any edits to it will get removed if the file is opened in a newer version of Excel. Learn more: https://go.microsoft.com/fwlink/?linkid=870924
Comment:
    https://www.glassdoor.ie/Salaries/glasgow-scotland-offshore-wind-project-manager-salary-SRCH_IL.0,16_IC3298888_KO17,46.htm Adjusted for experience</t>
      </text>
    </comment>
    <comment ref="C4" authorId="1" shapeId="0" xr:uid="{F7F5950C-96F8-4503-A4C9-A8F6371FC835}">
      <text>
        <t>[Threaded comment]
Your version of Excel allows you to read this threaded comment; however, any edits to it will get removed if the file is opened in a newer version of Excel. Learn more: https://go.microsoft.com/fwlink/?linkid=870924
Comment:
    https://www.glassdoor.ie/Salaries/glasgow-scotland-offshore-wind-project-manager-salary-SRCH_IL.0,16_IC3298888_KO17,46.htm</t>
      </text>
    </comment>
    <comment ref="C5" authorId="2" shapeId="0" xr:uid="{F4EDF33E-1518-4AD1-9F2C-C70AF6A59562}">
      <text>
        <t>[Threaded comment]
Your version of Excel allows you to read this threaded comment; however, any edits to it will get removed if the file is opened in a newer version of Excel. Learn more: https://go.microsoft.com/fwlink/?linkid=870924
Comment:
    https://www.glassdoor.co.uk/Salaries/glasgow-scotland-grid-connection-engineer-salary-SRCH_IL.0,16_IC3298888_KO17,41.htm</t>
      </text>
    </comment>
    <comment ref="C6" authorId="3" shapeId="0" xr:uid="{2DA19837-EB09-4C11-B621-92B0FF8D1425}">
      <text>
        <t>[Threaded comment]
Your version of Excel allows you to read this threaded comment; however, any edits to it will get removed if the file is opened in a newer version of Excel. Learn more: https://go.microsoft.com/fwlink/?linkid=870924
Comment:
    https://www.glassdoor.co.uk/Salaries/glasgow-scotland-grid-connection-engineer-salary-SRCH_IL.0,16_IC3298888_KO17,41.htm</t>
      </text>
    </comment>
    <comment ref="C7" authorId="4" shapeId="0" xr:uid="{FFFEB0F8-B7CE-4197-ABE7-3976DB44DF84}">
      <text>
        <t>[Threaded comment]
Your version of Excel allows you to read this threaded comment; however, any edits to it will get removed if the file is opened in a newer version of Excel. Learn more: https://go.microsoft.com/fwlink/?linkid=870924
Comment:
    https://www.glassdoor.co.uk/Salaries/glasgow-scotland-grid-connection-engineer-salary-SRCH_IL.0,16_IC3298888_KO17,41.htm</t>
      </text>
    </comment>
    <comment ref="C8" authorId="5" shapeId="0" xr:uid="{C34F7820-D067-4252-9FD2-55D00F146517}">
      <text>
        <t>[Threaded comment]
Your version of Excel allows you to read this threaded comment; however, any edits to it will get removed if the file is opened in a newer version of Excel. Learn more: https://go.microsoft.com/fwlink/?linkid=870924
Comment:
    https://uk.indeed.com/career/design-engineer/salaries/Scotland?from=top_sb</t>
      </text>
    </comment>
    <comment ref="C9" authorId="6" shapeId="0" xr:uid="{28B48E1D-FF33-4635-89E1-0E1D36462CB9}">
      <text>
        <t>[Threaded comment]
Your version of Excel allows you to read this threaded comment; however, any edits to it will get removed if the file is opened in a newer version of Excel. Learn more: https://go.microsoft.com/fwlink/?linkid=870924
Comment:
    Maybe comparable to a Marine Planner…
https://networkrecruitment.tal.net/vx/mobile-0/appcentre-5/brand-10/candidate/so/pm/1/pl/6/opp/1725-Marine-Planner/en-GB
Reply:
    Looks low for a degree qualification and 5 years experience. Job advert is from 2018</t>
      </text>
    </comment>
    <comment ref="C10" authorId="7" shapeId="0" xr:uid="{0F977218-B1FB-405A-841C-7805DC675A03}">
      <text>
        <t>[Threaded comment]
Your version of Excel allows you to read this threaded comment; however, any edits to it will get removed if the file is opened in a newer version of Excel. Learn more: https://go.microsoft.com/fwlink/?linkid=870924
Comment:
    https://www.checkasalary.co.uk/salary/procurement-manager-scotland?job_title=Procurement+Manager&amp;location=Scotland&amp;radius=5&amp;page=1&amp;min_salary=0&amp;max_salary=1000000&amp;job_hours=19&amp;work_from_home=0&amp;location_id=3&amp;job_title_id=175</t>
      </text>
    </comment>
    <comment ref="C11" authorId="8" shapeId="0" xr:uid="{E27E62D6-E7CD-4E47-93CA-ECE91AD5FDF6}">
      <text>
        <t>[Threaded comment]
Your version of Excel allows you to read this threaded comment; however, any edits to it will get removed if the file is opened in a newer version of Excel. Learn more: https://go.microsoft.com/fwlink/?linkid=870924
Comment:
    https://uk.talent.com/salary?job=technical+sales+manager</t>
      </text>
    </comment>
    <comment ref="C12" authorId="9" shapeId="0" xr:uid="{F6BC9EDF-C057-4940-BDC8-BCFE0D3EFA03}">
      <text>
        <t>[Threaded comment]
Your version of Excel allows you to read this threaded comment; however, any edits to it will get removed if the file is opened in a newer version of Excel. Learn more: https://go.microsoft.com/fwlink/?linkid=870924
Comment:
    https://uk.talent.com/salary?job=technical+sales+manager</t>
      </text>
    </comment>
    <comment ref="C13" authorId="10" shapeId="0" xr:uid="{5F7B7C1F-5FD5-498E-8422-C757521F39AB}">
      <text>
        <t>[Threaded comment]
Your version of Excel allows you to read this threaded comment; however, any edits to it will get removed if the file is opened in a newer version of Excel. Learn more: https://go.microsoft.com/fwlink/?linkid=870924
Comment:
    https://www.glassdoor.ie/Salaries/glasgow-scotland-offshore-wind-project-manager-salary-SRCH_IL.0,16_IC3298888_KO17,46.htm</t>
      </text>
    </comment>
    <comment ref="C14" authorId="11" shapeId="0" xr:uid="{7D02B46C-80BE-4BDA-A5F4-54F019FEEC24}">
      <text>
        <t>[Threaded comment]
Your version of Excel allows you to read this threaded comment; however, any edits to it will get removed if the file is opened in a newer version of Excel. Learn more: https://go.microsoft.com/fwlink/?linkid=870924
Comment:
    https://www.glassdoor.ie/Salaries/glasgow-scotland-offshore-wind-project-manager-salary-SRCH_IL.0,16_IC3298888_KO17,46.htm Adjusted for experience and skill level</t>
      </text>
    </comment>
    <comment ref="C15" authorId="12" shapeId="0" xr:uid="{A979BDD9-DD60-4739-82F5-563BAFBF46C1}">
      <text>
        <t>[Threaded comment]
Your version of Excel allows you to read this threaded comment; however, any edits to it will get removed if the file is opened in a newer version of Excel. Learn more: https://go.microsoft.com/fwlink/?linkid=870924
Comment:
    https://www.glassdoor.co.uk/Salaries/scotland-financial-analyst-salary-SRCH_IL.0,8_IS7289_KO9,26.htm
Also Orsted ad for Financial Analyst for Settlement of Renewable Wind Power £39k-51k</t>
      </text>
    </comment>
    <comment ref="C16" authorId="13" shapeId="0" xr:uid="{6EBEA9FF-1562-4981-9DAF-073EA74D1CDB}">
      <text>
        <t>[Threaded comment]
Your version of Excel allows you to read this threaded comment; however, any edits to it will get removed if the file is opened in a newer version of Excel. Learn more: https://go.microsoft.com/fwlink/?linkid=870924
Comment:
    Renewable Energy (Real Estate) Solicitor
https://www.s1jobs.com/job/renewable-energy-real-estate-solicitor-124061192?utm_campaign=google_jobs_apply&amp;utm_source=google_jobs_apply&amp;utm_medium=organic</t>
      </text>
    </comment>
    <comment ref="C17" authorId="14" shapeId="0" xr:uid="{9D1191ED-9FEC-4407-9496-250CB8401F9B}">
      <text>
        <t>[Threaded comment]
Your version of Excel allows you to read this threaded comment; however, any edits to it will get removed if the file is opened in a newer version of Excel. Learn more: https://go.microsoft.com/fwlink/?linkid=870924
Comment:
    https://www.glassdoor.co.uk/Salaries/scotland-communications-and-engagement-manager-salary-SRCH_IL.0,8_IS7289_KO9,46.htm</t>
      </text>
    </comment>
    <comment ref="C18" authorId="15" shapeId="0" xr:uid="{7DE391B3-8B51-4E5F-B6C3-C6AE024BEC26}">
      <text>
        <t>[Threaded comment]
Your version of Excel allows you to read this threaded comment; however, any edits to it will get removed if the file is opened in a newer version of Excel. Learn more: https://go.microsoft.com/fwlink/?linkid=870924
Comment:
    https://www.glassdoor.co.uk/Salaries/scotland-administrator-salary-SRCH_IL.0,8_IS7289_KO9,22.htm</t>
      </text>
    </comment>
    <comment ref="C19" authorId="16" shapeId="0" xr:uid="{6BC7C1A5-7F0B-4771-94A7-36DC1319C0ED}">
      <text>
        <t>[Threaded comment]
Your version of Excel allows you to read this threaded comment; however, any edits to it will get removed if the file is opened in a newer version of Excel. Learn more: https://go.microsoft.com/fwlink/?linkid=870924
Comment:
    https://www.glassdoor.ie/Salaries/glasgow-scotland-offshore-wind-project-manager-salary-SRCH_IL.0,16_IC3298888_KO17,46.htm</t>
      </text>
    </comment>
    <comment ref="C20" authorId="17" shapeId="0" xr:uid="{6D72735C-6744-47E7-A80C-A610A47AE869}">
      <text>
        <t>[Threaded comment]
Your version of Excel allows you to read this threaded comment; however, any edits to it will get removed if the file is opened in a newer version of Excel. Learn more: https://go.microsoft.com/fwlink/?linkid=870924
Comment:
    https://www.glassdoor.ie/Salaries/glasgow-scotland-offshore-wind-project-manager-salary-SRCH_IL.0,16_IC3298888_KO17,46.htm Adjusted for experience and skill level</t>
      </text>
    </comment>
    <comment ref="C21" authorId="18" shapeId="0" xr:uid="{EF000AB8-EDCC-47EE-8D4A-8E48B24E9F6F}">
      <text>
        <t>[Threaded comment]
Your version of Excel allows you to read this threaded comment; however, any edits to it will get removed if the file is opened in a newer version of Excel. Learn more: https://go.microsoft.com/fwlink/?linkid=870924
Comment:
    https://www.glassdoor.co.uk/Salaries/health-and-safety-officer-salary-SRCH_KO0,25.htm Adjusted for location and experience</t>
      </text>
    </comment>
    <comment ref="C23" authorId="19" shapeId="0" xr:uid="{EC800129-F02F-442A-A942-1A6A223B9D38}">
      <text>
        <t>[Threaded comment]
Your version of Excel allows you to read this threaded comment; however, any edits to it will get removed if the file is opened in a newer version of Excel. Learn more: https://go.microsoft.com/fwlink/?linkid=870924
Comment:
    https://www.glassdoor.co.uk/Salaries/glasgow-scotland-grid-connection-engineer-salary-SRCH_IL.0,16_IC3298888_KO17,41.htm</t>
      </text>
    </comment>
    <comment ref="C24" authorId="20" shapeId="0" xr:uid="{70B905D2-CF80-4F9A-B991-477CFC0D9B66}">
      <text>
        <t>[Threaded comment]
Your version of Excel allows you to read this threaded comment; however, any edits to it will get removed if the file is opened in a newer version of Excel. Learn more: https://go.microsoft.com/fwlink/?linkid=870924
Comment:
    https://www.glassdoor.co.uk/Salaries/glasgow-scotland-grid-connection-engineer-salary-SRCH_IL.0,16_IC3298888_KO17,41.htm Adjusted for location and skill</t>
      </text>
    </comment>
    <comment ref="C25" authorId="21" shapeId="0" xr:uid="{9924B48C-4189-477B-9062-7A6C136F583D}">
      <text>
        <t>[Threaded comment]
Your version of Excel allows you to read this threaded comment; however, any edits to it will get removed if the file is opened in a newer version of Excel. Learn more: https://go.microsoft.com/fwlink/?linkid=870924
Comment:
    https://www.glassdoor.co.uk/Salaries/glasgow-scotland-grid-connection-engineer-salary-SRCH_IL.0,16_IC3298888_KO17,41.htm Adjusted for location and skill</t>
      </text>
    </comment>
    <comment ref="C26" authorId="22" shapeId="0" xr:uid="{2F3F40C0-FDE8-43A7-9DD8-4C12999679FD}">
      <text>
        <t>[Threaded comment]
Your version of Excel allows you to read this threaded comment; however, any edits to it will get removed if the file is opened in a newer version of Excel. Learn more: https://go.microsoft.com/fwlink/?linkid=870924
Comment:
    https://www.glassdoor.co.uk/Salaries/glasgow-scotland-grid-connection-engineer-salary-SRCH_IL.0,16_IC3298888_KO17,41.htm Adjusted for location and skill</t>
      </text>
    </comment>
    <comment ref="C27" authorId="23" shapeId="0" xr:uid="{7B906AD9-B82A-4758-80A6-D077F291637A}">
      <text>
        <t>[Threaded comment]
Your version of Excel allows you to read this threaded comment; however, any edits to it will get removed if the file is opened in a newer version of Excel. Learn more: https://go.microsoft.com/fwlink/?linkid=870924
Comment:
    https://www.glassdoor.co.uk/Salaries/glasgow-scotland-grid-connection-engineer-salary-SRCH_IL.0,16_IC3298888_KO17,41.htm</t>
      </text>
    </comment>
    <comment ref="C29" authorId="24" shapeId="0" xr:uid="{225FAC3C-B99B-4CA0-AAF4-979D2BDB43A1}">
      <text>
        <t>[Threaded comment]
Your version of Excel allows you to read this threaded comment; however, any edits to it will get removed if the file is opened in a newer version of Excel. Learn more: https://go.microsoft.com/fwlink/?linkid=870924
Comment:
    https://www.glassdoor.co.uk/Salaries/scotland-quality-control-salary-SRCH_IL.0,8_IS7289_KO9,24.htm</t>
      </text>
    </comment>
    <comment ref="C30" authorId="25" shapeId="0" xr:uid="{0F3A4055-789C-471F-A6B0-638FADE28EF6}">
      <text>
        <t>[Threaded comment]
Your version of Excel allows you to read this threaded comment; however, any edits to it will get removed if the file is opened in a newer version of Excel. Learn more: https://go.microsoft.com/fwlink/?linkid=870924
Comment:
    https://www.glassdoor.co.uk/Salaries/scotland-coating-technician-salary-SRCH_IL.0,8_IS7289_KO9,27.htm</t>
      </text>
    </comment>
    <comment ref="C31" authorId="26" shapeId="0" xr:uid="{E73559A0-00A6-4FAA-B84A-D930DD3A2E51}">
      <text>
        <t>[Threaded comment]
Your version of Excel allows you to read this threaded comment; however, any edits to it will get removed if the file is opened in a newer version of Excel. Learn more: https://go.microsoft.com/fwlink/?linkid=870924
Comment:
    https://www.glassdoor.co.uk/Salaries/scotland-coating-technician-salary-SRCH_IL.0,8_IS7289_KO9,27.htm</t>
      </text>
    </comment>
    <comment ref="C32" authorId="27" shapeId="0" xr:uid="{DDE24B75-551B-4C3A-81F6-17A12CC203E3}">
      <text>
        <t xml:space="preserve">[Threaded comment]
Your version of Excel allows you to read this threaded comment; however, any edits to it will get removed if the file is opened in a newer version of Excel. Learn more: https://go.microsoft.com/fwlink/?linkid=870924
Comment:
    https://www.glassdoor.co.uk/Salaries/scotland-fibre-optic-engineer-salary-SRCH_IL.0,8_IS7289_KO9,29.htm Adjusted for location
</t>
      </text>
    </comment>
    <comment ref="C33" authorId="28" shapeId="0" xr:uid="{24777FD8-97B4-4938-B3BF-03A38841A091}">
      <text>
        <t>[Threaded comment]
Your version of Excel allows you to read this threaded comment; however, any edits to it will get removed if the file is opened in a newer version of Excel. Learn more: https://go.microsoft.com/fwlink/?linkid=870924
Comment:
    https://www.glassdoor.ie/Salaries/glasgow-scotland-offshore-wind-project-manager-salary-SRCH_IL.0,16_IC3298888_KO17,46.htm Adjusted for skill level</t>
      </text>
    </comment>
    <comment ref="C34" authorId="29" shapeId="0" xr:uid="{FEB1E56A-6BC7-463A-BBEF-552FF40D9D55}">
      <text>
        <t>[Threaded comment]
Your version of Excel allows you to read this threaded comment; however, any edits to it will get removed if the file is opened in a newer version of Excel. Learn more: https://go.microsoft.com/fwlink/?linkid=870924
Comment:
    https://www.glassdoor.ie/Salaries/glasgow-scotland-offshore-wind-project-manager-salary-SRCH_IL.0,16_IC3298888_KO17,46.htm</t>
      </text>
    </comment>
    <comment ref="C35" authorId="30" shapeId="0" xr:uid="{93D7168D-4D87-472E-B7D3-9AFDBDD5D753}">
      <text>
        <t>[Threaded comment]
Your version of Excel allows you to read this threaded comment; however, any edits to it will get removed if the file is opened in a newer version of Excel. Learn more: https://go.microsoft.com/fwlink/?linkid=870924
Comment:
    https://www.glassdoor.co.uk/Salaries/scotland-coating-technician-salary-SRCH_IL.0,8_IS7289_KO9,27.htm</t>
      </text>
    </comment>
    <comment ref="C36" authorId="31" shapeId="0" xr:uid="{B39FD081-2909-4561-A02F-F53B73F2D5E9}">
      <text>
        <t>[Threaded comment]
Your version of Excel allows you to read this threaded comment; however, any edits to it will get removed if the file is opened in a newer version of Excel. Learn more: https://go.microsoft.com/fwlink/?linkid=870924
Comment:
    https://www.glassdoor.ie/Salaries/glasgow-scotland-offshore-wind-project-manager-salary-SRCH_IL.0,16_IC3298888_KO17,46.htm</t>
      </text>
    </comment>
    <comment ref="C37" authorId="32" shapeId="0" xr:uid="{B79CC823-C552-4C93-BB8A-7A66106A7726}">
      <text>
        <t>[Threaded comment]
Your version of Excel allows you to read this threaded comment; however, any edits to it will get removed if the file is opened in a newer version of Excel. Learn more: https://go.microsoft.com/fwlink/?linkid=870924
Comment:
    https://www.glassdoor.co.uk/Salaries/scotland-administrator-salary-SRCH_IL.0,8_IS7289_KO9,22.htm</t>
      </text>
    </comment>
    <comment ref="C38" authorId="33" shapeId="0" xr:uid="{E3714D1F-FF03-498A-8791-98DB07896EAC}">
      <text>
        <t>[Threaded comment]
Your version of Excel allows you to read this threaded comment; however, any edits to it will get removed if the file is opened in a newer version of Excel. Learn more: https://go.microsoft.com/fwlink/?linkid=870924
Comment:
    https://www.glassdoor.ie/Salaries/glasgow-scotland-offshore-wind-project-manager-salary-SRCH_IL.0,16_IC3298888_KO17,46.htm</t>
      </text>
    </comment>
    <comment ref="C39" authorId="34" shapeId="0" xr:uid="{3125F067-30FF-45C6-B86D-DD71B3802176}">
      <text>
        <t>[Threaded comment]
Your version of Excel allows you to read this threaded comment; however, any edits to it will get removed if the file is opened in a newer version of Excel. Learn more: https://go.microsoft.com/fwlink/?linkid=870924
Comment:
    https://www.glassdoor.co.uk/Salaries/scotland-coating-technician-salary-SRCH_IL.0,8_IS7289_KO9,27.htm</t>
      </text>
    </comment>
    <comment ref="C41" authorId="35" shapeId="0" xr:uid="{95E06C98-FBEB-48D1-8022-B3E0B74954C9}">
      <text>
        <t>[Threaded comment]
Your version of Excel allows you to read this threaded comment; however, any edits to it will get removed if the file is opened in a newer version of Excel. Learn more: https://go.microsoft.com/fwlink/?linkid=870924
Comment:
    Civil Engineer comparable?
https://www.glassdoor.co.uk/Salaries/scotland-civil-engineer-salary-SRCH_IL.0,8_IS7289_KO9,23.htm
Reply:
    This will also include general labourer so expect that salary start range needs to be lower -maybe starting at £15k, same as machine operatives basic salary?</t>
      </text>
    </comment>
    <comment ref="C42" authorId="36" shapeId="0" xr:uid="{6273D49F-FC2F-4C9D-8696-27C488B74774}">
      <text>
        <t>[Threaded comment]
Your version of Excel allows you to read this threaded comment; however, any edits to it will get removed if the file is opened in a newer version of Excel. Learn more: https://go.microsoft.com/fwlink/?linkid=870924
Comment:
    Range based on avg. salary for Transport Operator (£32k)
https://www.reed.co.uk/average-salary/average-transport-operator-salary</t>
      </text>
    </comment>
    <comment ref="A43" authorId="37" shapeId="0" xr:uid="{E4CE650E-4654-45A9-8DBC-6390F07B8099}">
      <text>
        <t>[Threaded comment]
Your version of Excel allows you to read this threaded comment; however, any edits to it will get removed if the file is opened in a newer version of Excel. Learn more: https://go.microsoft.com/fwlink/?linkid=870924
Comment:
    Jointing Supervisor in Green Port Hull</t>
      </text>
    </comment>
    <comment ref="C43" authorId="38" shapeId="0" xr:uid="{9A15E8CF-7FA8-4D1C-BF27-8001F3AB2FA0}">
      <text>
        <t>[Threaded comment]
Your version of Excel allows you to read this threaded comment; however, any edits to it will get removed if the file is opened in a newer version of Excel. Learn more: https://go.microsoft.com/fwlink/?linkid=870924
Comment:
    https://uk.indeed.com/career/crane-operator/salaries/Scotland</t>
      </text>
    </comment>
    <comment ref="C44" authorId="39" shapeId="0" xr:uid="{37210D2E-1984-4DCF-BF10-051F22D26E41}">
      <text>
        <t>[Threaded comment]
Your version of Excel allows you to read this threaded comment; however, any edits to it will get removed if the file is opened in a newer version of Excel. Learn more: https://go.microsoft.com/fwlink/?linkid=870924
Comment:
    https://uk.indeed.com/career/crane-operator/salaries/Scotland Adjusted for experience</t>
      </text>
    </comment>
    <comment ref="C45" authorId="40" shapeId="0" xr:uid="{36F1476F-801F-49FC-83C6-BA6206E5248C}">
      <text>
        <t>[Threaded comment]
Your version of Excel allows you to read this threaded comment; however, any edits to it will get removed if the file is opened in a newer version of Excel. Learn more: https://go.microsoft.com/fwlink/?linkid=870924
Comment:
    https://uk.indeed.com/career/crane-operator/salaries/Scotland
Reply:
    Welder salary link: https://uk.indeed.com/career/welder/salaries
Maybe have higher top salary?</t>
      </text>
    </comment>
    <comment ref="C46" authorId="41" shapeId="0" xr:uid="{3178F1BB-51B6-4AC5-B04C-E14D889C81DE}">
      <text>
        <t>[Threaded comment]
Your version of Excel allows you to read this threaded comment; however, any edits to it will get removed if the file is opened in a newer version of Excel. Learn more: https://go.microsoft.com/fwlink/?linkid=870924
Comment:
    https://uk.indeed.com/career/crane-operator/salaries/Scotland</t>
      </text>
    </comment>
    <comment ref="C47" authorId="42" shapeId="0" xr:uid="{BB55B53E-F4CA-480D-A938-E0D99047ADAF}">
      <text>
        <t xml:space="preserve">[Threaded comment]
Your version of Excel allows you to read this threaded comment; however, any edits to it will get removed if the file is opened in a newer version of Excel. Learn more: https://go.microsoft.com/fwlink/?linkid=870924
Comment:
    https://www.glassdoor.co.uk/Salaries/scotland-fibre-optic-engineer-salary-SRCH_IL.0,8_IS7289_KO9,29.htm Adjusted for location
</t>
      </text>
    </comment>
    <comment ref="C48" authorId="43" shapeId="0" xr:uid="{6A1C270D-A634-486C-99CB-E7B024EDAFAC}">
      <text>
        <t>[Threaded comment]
Your version of Excel allows you to read this threaded comment; however, any edits to it will get removed if the file is opened in a newer version of Excel. Learn more: https://go.microsoft.com/fwlink/?linkid=870924
Comment:
    https://www.glassdoor.co.uk/Salaries/uk-senior-authorised-person-salary-SRCH_IL.0,2_IN2_KO3,27.htm</t>
      </text>
    </comment>
    <comment ref="C49" authorId="44" shapeId="0" xr:uid="{DF2FC8BE-8438-464E-B90C-AAF6C05D51BA}">
      <text>
        <t>[Threaded comment]
Your version of Excel allows you to read this threaded comment; however, any edits to it will get removed if the file is opened in a newer version of Excel. Learn more: https://go.microsoft.com/fwlink/?linkid=870924
Comment:
    https://www.glassdoor.co.uk/Salaries/scotland-coating-technician-salary-SRCH_IL.0,8_IS7289_KO9,27.htm</t>
      </text>
    </comment>
    <comment ref="C50" authorId="45" shapeId="0" xr:uid="{E3D43696-9987-4C9A-A283-2AA1DCEB69E4}">
      <text>
        <t>[Threaded comment]
Your version of Excel allows you to read this threaded comment; however, any edits to it will get removed if the file is opened in a newer version of Excel. Learn more: https://go.microsoft.com/fwlink/?linkid=870924
Comment:
    https://uk.indeed.com/career/crane-operator/salaries/Scotland</t>
      </text>
    </comment>
    <comment ref="C51" authorId="46" shapeId="0" xr:uid="{2B702DB9-7F25-4FC3-91A8-049B06A9712A}">
      <text>
        <t>[Threaded comment]
Your version of Excel allows you to read this threaded comment; however, any edits to it will get removed if the file is opened in a newer version of Excel. Learn more: https://go.microsoft.com/fwlink/?linkid=870924
Comment:
    https://uk.indeed.com/career/crane-operator/salaries/Scotland</t>
      </text>
    </comment>
    <comment ref="C52" authorId="47" shapeId="0" xr:uid="{1C5AA006-9CAB-4FFE-AD22-28E8ABDDB5C1}">
      <text>
        <t>[Threaded comment]
Your version of Excel allows you to read this threaded comment; however, any edits to it will get removed if the file is opened in a newer version of Excel. Learn more: https://go.microsoft.com/fwlink/?linkid=870924
Comment:
    https://uk.indeed.com/career/crane-operator/salaries/Scotland</t>
      </text>
    </comment>
    <comment ref="C53" authorId="48" shapeId="0" xr:uid="{86DAE5E0-F1F9-4877-9E65-56E52D4B667B}">
      <text>
        <t xml:space="preserve">[Threaded comment]
Your version of Excel allows you to read this threaded comment; however, any edits to it will get removed if the file is opened in a newer version of Excel. Learn more: https://go.microsoft.com/fwlink/?linkid=870924
Comment:
    https://www.glassdoor.co.uk/Salaries/scotland-fibre-optic-engineer-salary-SRCH_IL.0,8_IS7289_KO9,29.htm Adjusted for location
</t>
      </text>
    </comment>
    <comment ref="A54" authorId="49" shapeId="0" xr:uid="{EB7936CD-6F2F-4C54-8D04-AE0344936BC6}">
      <text>
        <t>[Threaded comment]
Your version of Excel allows you to read this threaded comment; however, any edits to it will get removed if the file is opened in a newer version of Excel. Learn more: https://go.microsoft.com/fwlink/?linkid=870924
Comment:
    Electrical Technician in Green Port Hull</t>
      </text>
    </comment>
    <comment ref="C54" authorId="50" shapeId="0" xr:uid="{04A1C0DD-EA09-48A7-BAB7-9AF2C29601F4}">
      <text>
        <t>[Threaded comment]
Your version of Excel allows you to read this threaded comment; however, any edits to it will get removed if the file is opened in a newer version of Excel. Learn more: https://go.microsoft.com/fwlink/?linkid=870924
Comment:
    https://uk.indeed.com/viewjob?jk=7afadabaa8451452&amp;utm_campaign=google_jobs_apply&amp;utm_source=google_jobs_apply&amp;utm_medium=organic&amp;from=iaBackPress</t>
      </text>
    </comment>
    <comment ref="C55" authorId="51" shapeId="0" xr:uid="{C74F2DD5-669C-435F-91D9-CCE0A0A37D77}">
      <text>
        <t xml:space="preserve">[Threaded comment]
Your version of Excel allows you to read this threaded comment; however, any edits to it will get removed if the file is opened in a newer version of Excel. Learn more: https://go.microsoft.com/fwlink/?linkid=870924
Comment:
    https://www.glassdoor.co.uk/Salaries/scotland-fibre-optic-engineer-salary-SRCH_IL.0,8_IS7289_KO9,29.htm Adjusted for location
</t>
      </text>
    </comment>
    <comment ref="C56" authorId="52" shapeId="0" xr:uid="{1FB2EC34-5553-4FED-86EB-EBF1F9916483}">
      <text>
        <t xml:space="preserve">[Threaded comment]
Your version of Excel allows you to read this threaded comment; however, any edits to it will get removed if the file is opened in a newer version of Excel. Learn more: https://go.microsoft.com/fwlink/?linkid=870924
Comment:
    https://www.glassdoor.co.uk/Salaries/scotland-fibre-optic-engineer-salary-SRCH_IL.0,8_IS7289_KO9,29.htm Adjusted for location
</t>
      </text>
    </comment>
    <comment ref="C57" authorId="53" shapeId="0" xr:uid="{50693C0B-2A26-4B1A-9648-69DB506D6856}">
      <text>
        <t>[Threaded comment]
Your version of Excel allows you to read this threaded comment; however, any edits to it will get removed if the file is opened in a newer version of Excel. Learn more: https://go.microsoft.com/fwlink/?linkid=870924
Comment:
    https://uk.indeed.com/career/crane-operator/salaries/Scotland Adjusted for location and experience</t>
      </text>
    </comment>
    <comment ref="C58" authorId="54" shapeId="0" xr:uid="{8A2A7D7B-E43B-4996-B758-C71AED687396}">
      <text>
        <t>[Threaded comment]
Your version of Excel allows you to read this threaded comment; however, any edits to it will get removed if the file is opened in a newer version of Excel. Learn more: https://go.microsoft.com/fwlink/?linkid=870924
Comment:
    https://www.glassdoor.co.uk/Salaries/health-and-safety-officer-salary-SRCH_KO0,25.htm Adjusted for location and experience</t>
      </text>
    </comment>
    <comment ref="C59" authorId="55" shapeId="0" xr:uid="{E67A9388-E8DE-46E7-9D64-2CD8DD2F5527}">
      <text>
        <t xml:space="preserve">[Threaded comment]
Your version of Excel allows you to read this threaded comment; however, any edits to it will get removed if the file is opened in a newer version of Excel. Learn more: https://go.microsoft.com/fwlink/?linkid=870924
Comment:
    https://www.glassdoor.co.uk/Salaries/scotland-fibre-optic-engineer-salary-SRCH_IL.0,8_IS7289_KO9,29.htm Adjusted for location
</t>
      </text>
    </comment>
    <comment ref="C60" authorId="56" shapeId="0" xr:uid="{58B8E533-29E5-411C-89C3-B6B467C1D97A}">
      <text>
        <t xml:space="preserve">[Threaded comment]
Your version of Excel allows you to read this threaded comment; however, any edits to it will get removed if the file is opened in a newer version of Excel. Learn more: https://go.microsoft.com/fwlink/?linkid=870924
Comment:
    https://www.glassdoor.co.uk/Salaries/scotland-fibre-optic-engineer-salary-SRCH_IL.0,8_IS7289_KO9,29.htm Adjusted for location
</t>
      </text>
    </comment>
    <comment ref="C62" authorId="57" shapeId="0" xr:uid="{27AE922B-57BA-4B46-BBF7-FC96947D2BD3}">
      <text>
        <t>[Threaded comment]
Your version of Excel allows you to read this threaded comment; however, any edits to it will get removed if the file is opened in a newer version of Excel. Learn more: https://go.microsoft.com/fwlink/?linkid=870924
Comment:
    https://uk.indeed.com/career/design-engineer/salaries/Scotland?from=top_sb</t>
      </text>
    </comment>
    <comment ref="C63" authorId="58" shapeId="0" xr:uid="{D1663195-43F8-4DE2-BE4E-044C05C817EC}">
      <text>
        <t>[Threaded comment]
Your version of Excel allows you to read this threaded comment; however, any edits to it will get removed if the file is opened in a newer version of Excel. Learn more: https://go.microsoft.com/fwlink/?linkid=870924
Comment:
    https://uk.indeed.com/career/design-engineer/salaries/Scotland?from=top_sb</t>
      </text>
    </comment>
    <comment ref="C64" authorId="59" shapeId="0" xr:uid="{CA013308-5EA9-4989-A82F-FA8F5C615AB7}">
      <text>
        <t>[Threaded comment]
Your version of Excel allows you to read this threaded comment; however, any edits to it will get removed if the file is opened in a newer version of Excel. Learn more: https://go.microsoft.com/fwlink/?linkid=870924
Comment:
    https://uk.indeed.com/career/design-engineer/salaries/Scotland?from=top_sb</t>
      </text>
    </comment>
    <comment ref="C65" authorId="60" shapeId="0" xr:uid="{52B616D8-0039-4A14-8F73-452B64161E0F}">
      <text>
        <t>[Threaded comment]
Your version of Excel allows you to read this threaded comment; however, any edits to it will get removed if the file is opened in a newer version of Excel. Learn more: https://go.microsoft.com/fwlink/?linkid=870924
Comment:
    https://uk.indeed.com/career/design-engineer/salaries/Scotland?from=top_sb</t>
      </text>
    </comment>
    <comment ref="C66" authorId="61" shapeId="0" xr:uid="{67E47A81-A3B5-47AA-A10C-CE5E7BBD897C}">
      <text>
        <t>[Threaded comment]
Your version of Excel allows you to read this threaded comment; however, any edits to it will get removed if the file is opened in a newer version of Excel. Learn more: https://go.microsoft.com/fwlink/?linkid=870924
Comment:
    https://uk.indeed.com/career/design-engineer/salaries/Scotland?from=top_sb Adjusted for  location and experience</t>
      </text>
    </comment>
    <comment ref="C67" authorId="62" shapeId="0" xr:uid="{C73C4BA0-0077-4094-9303-A66FBFB4F98B}">
      <text>
        <t>[Threaded comment]
Your version of Excel allows you to read this threaded comment; however, any edits to it will get removed if the file is opened in a newer version of Excel. Learn more: https://go.microsoft.com/fwlink/?linkid=870924
Comment:
    https://uk.indeed.com/career/design-engineer/salaries/Scotland?from=top_sb Adjusted for location, experience and skill level</t>
      </text>
    </comment>
    <comment ref="C69" authorId="63" shapeId="0" xr:uid="{1BFF14CB-9E05-47CE-A0BA-1E68C22DB4DF}">
      <text>
        <t>[Threaded comment]
Your version of Excel allows you to read this threaded comment; however, any edits to it will get removed if the file is opened in a newer version of Excel. Learn more: https://go.microsoft.com/fwlink/?linkid=870924
Comment:
    https://uk.indeed.com/career/crew-manager/salaries/Scotland?from=top_sb Adjusted for location and experience
Reply:
    I suspect that the range goes a lot higher than £55k for more experienced people</t>
      </text>
    </comment>
    <comment ref="C70" authorId="64" shapeId="0" xr:uid="{21BA3550-6384-4210-8442-66F4DBCC0A42}">
      <text>
        <t>[Threaded comment]
Your version of Excel allows you to read this threaded comment; however, any edits to it will get removed if the file is opened in a newer version of Excel. Learn more: https://go.microsoft.com/fwlink/?linkid=870924
Comment:
    https://uk.indeed.com/career/crew-manager/salaries/Scotland?from=top_sb Adjusted for location</t>
      </text>
    </comment>
    <comment ref="C71" authorId="65" shapeId="0" xr:uid="{88BC2DDB-0375-41F5-8FA6-883EE56DFF9D}">
      <text>
        <t>[Threaded comment]
Your version of Excel allows you to read this threaded comment; however, any edits to it will get removed if the file is opened in a newer version of Excel. Learn more: https://go.microsoft.com/fwlink/?linkid=870924
Comment:
    https://www.glassdoor.co.uk/Salaries/scotland-deckhand-salary-SRCH_IL.0,8_IS7289_KO9,17.htm</t>
      </text>
    </comment>
    <comment ref="C72" authorId="66" shapeId="0" xr:uid="{2B6784F1-69E9-4DCF-9E4B-C46643ACEC4A}">
      <text>
        <t>[Threaded comment]
Your version of Excel allows you to read this threaded comment; however, any edits to it will get removed if the file is opened in a newer version of Excel. Learn more: https://go.microsoft.com/fwlink/?linkid=870924
Comment:
    https://uk.indeed.com/career/design-engineer/salaries/Scotland?from=top_sb Adjusted for  location and experience</t>
      </text>
    </comment>
    <comment ref="C73" authorId="67" shapeId="0" xr:uid="{2A21899A-2893-41C1-B22D-6E902417D6D7}">
      <text>
        <t>[Threaded comment]
Your version of Excel allows you to read this threaded comment; however, any edits to it will get removed if the file is opened in a newer version of Excel. Learn more: https://go.microsoft.com/fwlink/?linkid=870924
Comment:
    https://uk.indeed.com/career/crew-manager/salaries/Scotland?from=top_sb</t>
      </text>
    </comment>
    <comment ref="C74" authorId="68" shapeId="0" xr:uid="{D32E9A49-0EFD-4970-99DE-AB92C91CA5A0}">
      <text>
        <t>[Threaded comment]
Your version of Excel allows you to read this threaded comment; however, any edits to it will get removed if the file is opened in a newer version of Excel. Learn more: https://go.microsoft.com/fwlink/?linkid=870924
Comment:
    https://uk.indeed.com/career/crew-manager/salaries/Scotland?from=top_sb</t>
      </text>
    </comment>
    <comment ref="C75" authorId="69" shapeId="0" xr:uid="{EDEF5F6E-F37B-4336-807D-0DA2CE8A4FAB}">
      <text>
        <t>[Threaded comment]
Your version of Excel allows you to read this threaded comment; however, any edits to it will get removed if the file is opened in a newer version of Excel. Learn more: https://go.microsoft.com/fwlink/?linkid=870924
Comment:
    https://www.glassdoor.co.uk/Salaries/rov-sub-engineer-salary-SRCH_KO0,16.htm</t>
      </text>
    </comment>
    <comment ref="C76" authorId="70" shapeId="0" xr:uid="{308AF68B-917C-4B8F-A747-34EAF1A800D2}">
      <text>
        <t>[Threaded comment]
Your version of Excel allows you to read this threaded comment; however, any edits to it will get removed if the file is opened in a newer version of Excel. Learn more: https://go.microsoft.com/fwlink/?linkid=870924
Comment:
    https://www.glassdoor.co.uk/Salaries/scotland-diver-salary-SRCH_IL.0,8_IS7289_KO9,14.htm Adjusted for location and experience
Reply:
    Should this not be higher than ROV operators? More risk involved</t>
      </text>
    </comment>
    <comment ref="C77" authorId="71" shapeId="0" xr:uid="{DA4233A8-C3FA-4757-93E9-F90DCA34F9A8}">
      <text>
        <t>[Threaded comment]
Your version of Excel allows you to read this threaded comment; however, any edits to it will get removed if the file is opened in a newer version of Excel. Learn more: https://go.microsoft.com/fwlink/?linkid=870924
Comment:
    https://uk.indeed.com/career/design-engineer/salaries/Scotland?from=top_sb Adjusted for  location and experience</t>
      </text>
    </comment>
    <comment ref="C78" authorId="72" shapeId="0" xr:uid="{CEB7A880-89AB-4DF4-9DF1-13FD59A25767}">
      <text>
        <t>[Threaded comment]
Your version of Excel allows you to read this threaded comment; however, any edits to it will get removed if the file is opened in a newer version of Excel. Learn more: https://go.microsoft.com/fwlink/?linkid=870924
Comment:
    https://www.glassdoor.co.uk/Salaries/uk-dock-master-salary-SRCH_IL.0,2_IN2_KO3,14.htm</t>
      </text>
    </comment>
    <comment ref="C79" authorId="73" shapeId="0" xr:uid="{61C1D537-8D55-4EA2-9C1A-F980B9C64431}">
      <text>
        <t>[Threaded comment]
Your version of Excel allows you to read this threaded comment; however, any edits to it will get removed if the file is opened in a newer version of Excel. Learn more: https://go.microsoft.com/fwlink/?linkid=870924
Comment:
    https://www.glassdoor.co.uk/Salaries/scotland-ships-agent-salary-SRCH_IL.0,8_IS7289_KO9,20.htm</t>
      </text>
    </comment>
    <comment ref="C80" authorId="74" shapeId="0" xr:uid="{80C0FE32-FFE1-4CA0-8520-D094CAA1F4A1}">
      <text>
        <t>[Threaded comment]
Your version of Excel allows you to read this threaded comment; however, any edits to it will get removed if the file is opened in a newer version of Excel. Learn more: https://go.microsoft.com/fwlink/?linkid=870924
Comment:
    https://www.glassdoor.co.uk/Salaries/uk-dock-master-salary-SRCH_IL.0,2_IN2_KO3,14.htm</t>
      </text>
    </comment>
    <comment ref="C81" authorId="75" shapeId="0" xr:uid="{77DEAEDF-77E2-43C9-94F7-F0BE80B331DD}">
      <text>
        <t>[Threaded comment]
Your version of Excel allows you to read this threaded comment; however, any edits to it will get removed if the file is opened in a newer version of Excel. Learn more: https://go.microsoft.com/fwlink/?linkid=870924
Comment:
    https://www.glassdoor.co.uk/Salaries/scotland-ships-agent-salary-SRCH_IL.0,8_IS7289_KO9,20.htm Adjusted for experience</t>
      </text>
    </comment>
    <comment ref="C82" authorId="76" shapeId="0" xr:uid="{94089553-DC54-412E-ADEB-05227614E0DE}">
      <text>
        <t>[Threaded comment]
Your version of Excel allows you to read this threaded comment; however, any edits to it will get removed if the file is opened in a newer version of Excel. Learn more: https://go.microsoft.com/fwlink/?linkid=870924
Comment:
    https://www.glassdoor.co.uk/Salaries/scotland-ships-agent-salary-SRCH_IL.0,8_IS7289_KO9,20.htm</t>
      </text>
    </comment>
    <comment ref="C83" authorId="77" shapeId="0" xr:uid="{73F97020-8E1E-4F25-84D5-953C42145966}">
      <text>
        <t>[Threaded comment]
Your version of Excel allows you to read this threaded comment; however, any edits to it will get removed if the file is opened in a newer version of Excel. Learn more: https://go.microsoft.com/fwlink/?linkid=870924
Comment:
    https://www.glassdoor.co.uk/Salaries/uk-dock-master-salary-SRCH_IL.0,2_IN2_KO3,14.htm</t>
      </text>
    </comment>
    <comment ref="C84" authorId="78" shapeId="0" xr:uid="{19BA1D61-56CF-44BF-9C69-A11EAFC1FB2D}">
      <text>
        <t>[Threaded comment]
Your version of Excel allows you to read this threaded comment; however, any edits to it will get removed if the file is opened in a newer version of Excel. Learn more: https://go.microsoft.com/fwlink/?linkid=870924
Comment:
    https://www.glassdoor.co.uk/Salaries/scotland-deckhand-salary-SRCH_IL.0,8_IS7289_KO9,17.htm</t>
      </text>
    </comment>
    <comment ref="C86" authorId="79" shapeId="0" xr:uid="{69ECAA50-1625-4D0F-80C5-4E26A9997072}">
      <text>
        <t>[Threaded comment]
Your version of Excel allows you to read this threaded comment; however, any edits to it will get removed if the file is opened in a newer version of Excel. Learn more: https://go.microsoft.com/fwlink/?linkid=870924
Comment:
    https://iberdrola.wd3.myworkdayjobs.com/en-US/Iberdrola/details/IT-Security-Lead_R-09657?locationCountry=29247e57dbaf46fb855b224e03170bc7</t>
      </text>
    </comment>
    <comment ref="C87" authorId="80" shapeId="0" xr:uid="{9A10E63B-7E58-4DF4-99B9-87ADFA276E9C}">
      <text>
        <t>[Threaded comment]
Your version of Excel allows you to read this threaded comment; however, any edits to it will get removed if the file is opened in a newer version of Excel. Learn more: https://go.microsoft.com/fwlink/?linkid=870924
Comment:
    https://uk.indeed.com/career/data-processor/salaries/Scotland?from=top_sb</t>
      </text>
    </comment>
    <comment ref="C88" authorId="81" shapeId="0" xr:uid="{B8ED0DD2-7A6D-4C21-B552-9757FF73360D}">
      <text>
        <t>[Threaded comment]
Your version of Excel allows you to read this threaded comment; however, any edits to it will get removed if the file is opened in a newer version of Excel. Learn more: https://go.microsoft.com/fwlink/?linkid=870924
Comment:
    https://uk.indeed.com/career/data-processor/salaries/Scotland?from=top_sb Adjusted for skill level</t>
      </text>
    </comment>
    <comment ref="C89" authorId="82" shapeId="0" xr:uid="{3F42227F-6344-4E7F-BF63-9BD08216DF30}">
      <text>
        <t>[Threaded comment]
Your version of Excel allows you to read this threaded comment; however, any edits to it will get removed if the file is opened in a newer version of Excel. Learn more: https://go.microsoft.com/fwlink/?linkid=870924
Comment:
    https://uk.indeed.com/career/data-processor/salaries/Scotland?from=top_sb</t>
      </text>
    </comment>
    <comment ref="C90" authorId="83" shapeId="0" xr:uid="{8B1ECD73-9FEF-4B80-86CC-C3A9C2ACBE1D}">
      <text>
        <t>[Threaded comment]
Your version of Excel allows you to read this threaded comment; however, any edits to it will get removed if the file is opened in a newer version of Excel. Learn more: https://go.microsoft.com/fwlink/?linkid=870924
Comment:
    https://uk.indeed.com/career/data-processor/salaries/Scotland?from=top_sb Adjusted for skill level</t>
      </text>
    </comment>
    <comment ref="C91" authorId="84" shapeId="0" xr:uid="{0DA8469F-DC4D-4A45-8211-39EA56554902}">
      <text>
        <t>[Threaded comment]
Your version of Excel allows you to read this threaded comment; however, any edits to it will get removed if the file is opened in a newer version of Excel. Learn more: https://go.microsoft.com/fwlink/?linkid=870924
Comment:
    https://uk.indeed.com/career/data-processor/salaries/Scotland?from=top_sb</t>
      </text>
    </comment>
  </commentList>
</comments>
</file>

<file path=xl/sharedStrings.xml><?xml version="1.0" encoding="utf-8"?>
<sst xmlns="http://schemas.openxmlformats.org/spreadsheetml/2006/main" count="1690" uniqueCount="398">
  <si>
    <t>Job Role</t>
  </si>
  <si>
    <t>Job Description</t>
  </si>
  <si>
    <t>Salary Range</t>
  </si>
  <si>
    <t>Development</t>
  </si>
  <si>
    <t>Wind Turbine &amp; BoP</t>
  </si>
  <si>
    <t>Installation &amp; Commissioning</t>
  </si>
  <si>
    <t>O&amp;M</t>
  </si>
  <si>
    <t>Decommissioning</t>
  </si>
  <si>
    <t>Minimum skill level</t>
  </si>
  <si>
    <t>Exp. Yrs
(&gt;)</t>
  </si>
  <si>
    <t xml:space="preserve">Location </t>
  </si>
  <si>
    <t>Grouping</t>
  </si>
  <si>
    <t>Active Project Stages</t>
  </si>
  <si>
    <t>Consultant - Grid Connection &amp; Application</t>
  </si>
  <si>
    <t>Specialist who provides technical and regulatory advice and support to enable the wind farm to connect to the national electricity grid. Requires degree level qualifications in electrical engineering, power systems, renewable energy or a related field and experience of high voltage systems including the national grid. Also requires proficiency with grid modelling software.</t>
  </si>
  <si>
    <t>£30,000-40,000</t>
  </si>
  <si>
    <t>degree</t>
  </si>
  <si>
    <t xml:space="preserve">Onshore </t>
  </si>
  <si>
    <t>Consultancy</t>
  </si>
  <si>
    <t xml:space="preserve">Consultant - Site Design &amp; Modelling </t>
  </si>
  <si>
    <t>Specialist who optimises the wind farm site layout for maximum efficiency and cost-effectiveness while ensuring compliance with regulatory and environmental requirements. Requires degree level qualifications in civil engineering, environmental science, renewable energy, or related fields. Also requires proficiency with 3D modelling and geospatial systems software.</t>
  </si>
  <si>
    <t xml:space="preserve">Consultant - Energy Yield Assessor &amp; Design </t>
  </si>
  <si>
    <t>Specialist who predicts and optimises the energy output of the wind farm over its operational life. Requires a degree in renewable energy, electrical engineering, meteorology, or a related technical field. Also requires proficiency with energy yield modelling software.</t>
  </si>
  <si>
    <t xml:space="preserve">Environmental Consultant </t>
  </si>
  <si>
    <t>Evaluates the impact of the offshore wind farm on marine ecosystems and ensures that the project complies with environmental regulations. Requires a degree in marine biology, environmental science, or a related field.</t>
  </si>
  <si>
    <t xml:space="preserve">Oceanographer </t>
  </si>
  <si>
    <t>Studies ocean currents, wave patterns, and environmental factors to assess the impact of the offshore wind farm on marine environments and its performance. Requires a degree in oceanography, marine science, or related fields.</t>
  </si>
  <si>
    <t>£40,000-50,000</t>
  </si>
  <si>
    <t>post-grad</t>
  </si>
  <si>
    <t xml:space="preserve">Offshore </t>
  </si>
  <si>
    <t>Hydrographer</t>
  </si>
  <si>
    <t>Conducts surveys of the seabed to provide accurate maps and data for the installation of wind turbines. Requires a degree in hydrography, marine surveying, or geomatics and experience with sonar and GIS software.</t>
  </si>
  <si>
    <t xml:space="preserve">Geophysicist </t>
  </si>
  <si>
    <t>Studies the physical properties of the seabed to ensure safe and efficient wind turbine foundation design. Requires a degree in geophysics, geology, or earth sciences.</t>
  </si>
  <si>
    <t xml:space="preserve">Marine Ecologist </t>
  </si>
  <si>
    <t>Studies the marine environment to ensure the offshore wind project minimizes its ecological impact. Requires a degree in marine biology or ecology.</t>
  </si>
  <si>
    <t>Off/Onshore</t>
  </si>
  <si>
    <t xml:space="preserve">IT Manager </t>
  </si>
  <si>
    <t>Manages the IT infrastructure for onshore and offshore wind farm operations. Requires a degree in information technology or computer science.</t>
  </si>
  <si>
    <t>£60,000-70,000</t>
  </si>
  <si>
    <t>Data &amp; Communications</t>
  </si>
  <si>
    <t xml:space="preserve">Onshore Processor </t>
  </si>
  <si>
    <t>Processes data and information collected from the offshore wind farm, supporting project management and analysis. Requires a degree in data science, engineering, or project management.</t>
  </si>
  <si>
    <t>£35,000-45,000</t>
  </si>
  <si>
    <t xml:space="preserve">Control Room Engineer/Technician </t>
  </si>
  <si>
    <t>Monitors, controls and optimises the operations of offshore wind turbines from an onshore control centre. Requires an HNC/HND or degree in electrical or control systems engineering.</t>
  </si>
  <si>
    <t>HNC/HND</t>
  </si>
  <si>
    <t xml:space="preserve">SCADA Technician </t>
  </si>
  <si>
    <t>Installs and maintains SCADA (Supervisory Control and Data Acquisition) systems used to monitor wind farm performance. Requires a degree in electrical or control systems engineering.</t>
  </si>
  <si>
    <t xml:space="preserve">Communication Network Technician </t>
  </si>
  <si>
    <t>Installs and maintains communication networks for data transfer between the wind farm and onshore facilities. Requires at least an HNC/HND in computer science or information technology.</t>
  </si>
  <si>
    <t xml:space="preserve">Offshore Processor </t>
  </si>
  <si>
    <t>Processes real-time data collected offshore to ensure turbine performance and reliability. Requires a degree in engineering or data science.</t>
  </si>
  <si>
    <t>DNO Case Worker</t>
  </si>
  <si>
    <t>A Distribution Network Operator (DNO) case worker ensures that the wind farm's grid connection application process to the national grid progresses and that all technical and regulatory requirements are met. Requires a degree in electrical engineering, power systems or a related field. Must have experience in working with utility companies and understanding grid regulations.</t>
  </si>
  <si>
    <t>Engineering</t>
  </si>
  <si>
    <t xml:space="preserve">Draughtsman </t>
  </si>
  <si>
    <t>Prepares detailed technical drawings and blueprints for wind farm structures and components. Requires an HNC/HND or degree in drafting or design engineering.</t>
  </si>
  <si>
    <t xml:space="preserve">Design engineer </t>
  </si>
  <si>
    <t>Develops engineering designs for wind turbine components, support structures and turbine cabling. Requires a degree in mechanical, structural, or electrical engineering.</t>
  </si>
  <si>
    <t xml:space="preserve">Product Development Engineer </t>
  </si>
  <si>
    <t>Develops new turbine technologies and components to improve performance and reliability. Requires a degree in engineering or product development.</t>
  </si>
  <si>
    <t xml:space="preserve">Marine Engineer </t>
  </si>
  <si>
    <t>Designs and maintains offshore structures, vessels, and machinery used in wind farm operations. Requires a degree in marine engineering or naval architecture.</t>
  </si>
  <si>
    <t xml:space="preserve">Structural Engineer </t>
  </si>
  <si>
    <t>Designs the foundations and support structures for offshore wind turbines, ensuring that they can withstand harsh marine environments, including waves, currents, and wind loads. Requires a degree in structural, civil, or marine engineering.</t>
  </si>
  <si>
    <t>Responsible for designing, laying, and maintaining the cables that connect offshore wind turbines to onshore power grids. This includes both inter-array cables (between turbines) and export cables (to shore). Requires a degree in electrical engineering, marine engineering, or offshore engineering.</t>
  </si>
  <si>
    <t xml:space="preserve">Naval architect </t>
  </si>
  <si>
    <t>Designs vessels and marine structures used in offshore wind farm operations. Requires a degree in naval architecture or marine engineering.</t>
  </si>
  <si>
    <t>£50,000-70,000</t>
  </si>
  <si>
    <t xml:space="preserve">Storeperson </t>
  </si>
  <si>
    <t>Manages inventory and storage of materials and tools used in offshore wind farm construction. No formal qualifications but requires experience in warehouse or inventory management.</t>
  </si>
  <si>
    <t>£20,000-30,000</t>
  </si>
  <si>
    <t>variable</t>
  </si>
  <si>
    <t xml:space="preserve">Civils Contractor </t>
  </si>
  <si>
    <t xml:space="preserve">Responsible for onshore civil engineering work such as building infrastructure to support the wind farm. Variety of roles from constructing site buildings to access roads. Range of skills and qualifications required including surveying, bricklaying, joinery, groundworks, machine operator and general labourer.   </t>
  </si>
  <si>
    <t>£15,000-30,000</t>
  </si>
  <si>
    <t xml:space="preserve">Transport Operative </t>
  </si>
  <si>
    <t xml:space="preserve">Organizes the transport of turbine components, personnel, and materials between onshore and offshore locations. No formal qualifications required but must be experienced in logistics and transportation managemnet of extremely long/large loads. </t>
  </si>
  <si>
    <t>£25,000-35,000</t>
  </si>
  <si>
    <t xml:space="preserve">HV Technician </t>
  </si>
  <si>
    <t>Specialises in the installation, maintenance, and repair of high-voltage systems used in offshore wind farms. Requires HV technician certification (such as from a City &amp; Guilds accredited training provider) and ideally experience in offshore environments.</t>
  </si>
  <si>
    <t>Senior Authorised Person (SAP)</t>
  </si>
  <si>
    <t>Responsible for ensuring the safe operation, maintenance, and management of high-voltage (HV) electrical systems. This includes overseeing and authorizing switching operations, isolations, and the safety of personnel working on high-voltage equipment such as substations, transformers, and electrical circuits. This requires a degree in electrical engineering, power systems engineering or reated field and extensive experience (typically 5-10 years) in high voltage systems.Will require SAP certification and offshore safety certification .</t>
  </si>
  <si>
    <t>£55,000-65,000</t>
  </si>
  <si>
    <t xml:space="preserve">Carousel and tensioner operator </t>
  </si>
  <si>
    <t>Operates carousel and tensioner equipment used in laying cables for offshore wind farms. Requires training in operating marine cable equipment.</t>
  </si>
  <si>
    <t xml:space="preserve">Cable jointer </t>
  </si>
  <si>
    <t>Installs and maintains electrical cables, especially those used in offshore wind farm transmission systems. Requires certification in high and low voltage cable jointing (such as from a City &amp; Guilds accredited training provider).</t>
  </si>
  <si>
    <t>Scaffolder</t>
  </si>
  <si>
    <t xml:space="preserve">Erects scaffolding structures to support offshore wind farm construction and maintenance activities. Requires certification in scaffolding, e.g. from the Construction Industry Scaffolders Record Scheme (CISRS) as well as certificates for safely working offshore, such as from the Global Wind Organisation (GWO). </t>
  </si>
  <si>
    <t xml:space="preserve">Crane Operator </t>
  </si>
  <si>
    <t xml:space="preserve">Operates cranes to lift and position heavy wind turbine components during installation.  Requires certification as a crane operator, e.g. from the Construction Plant Competence Scheme (CPCS) as well as certificates for safely working offshore, such as from the Global Wind Organisation (GWO). </t>
  </si>
  <si>
    <t xml:space="preserve">Fibreoptic Technician </t>
  </si>
  <si>
    <t xml:space="preserve">Installs and maintains fibre optic cables used for data transmission in offshore wind farm systems. Requires certification in fibre optic cabling and splicing (e.g., from a City &amp; Guilds accredited training provider),  as well as certificates for safely working offshore, such as from the Global Wind Organisation (GWO). </t>
  </si>
  <si>
    <t>Electrician</t>
  </si>
  <si>
    <t>Installs and maintains electrical systems for wind turbine components and infrastructure. Requires certification as an electrician, which can be gained from colleges and private training providers,  as well as certificates for safely working offshore, such as from the Global Wind Organisation (GWO).</t>
  </si>
  <si>
    <t>£35,000-55,000</t>
  </si>
  <si>
    <t xml:space="preserve">Crane/Rigging Inspector </t>
  </si>
  <si>
    <t xml:space="preserve">Inspects cranes and rigging equipment used for offshore wind turbine installation to ensure safety and functionality. Requires certification in rigging and lifting operations that meets, e.g., Lifting Operations and Lifting Equipment Regulations (LOLER),  as well as certificates for safely working offshore, such as from the Global Wind Organisation (GWO). </t>
  </si>
  <si>
    <t xml:space="preserve">Test &amp; Commissioning Engineer </t>
  </si>
  <si>
    <t>Manages the offshore installation process, ensuring turbines, cables, and substations are correctly installed at sea. Requires a degree in offshore engineering, marine engineering, or mechanical engineering.</t>
  </si>
  <si>
    <t xml:space="preserve">Quality Controller </t>
  </si>
  <si>
    <t>Ensures that materials and construction processes meet quality standards for the wind farm components. Requires an HNC/HND or degree in engineering or manufacturing.</t>
  </si>
  <si>
    <t>Manufacturing</t>
  </si>
  <si>
    <t>Coating Technician</t>
  </si>
  <si>
    <t>Applies protective coatings to wind turbine components, ensuring durability in harsh marine conditions. Requires training in surface treatment and coating application.</t>
  </si>
  <si>
    <t xml:space="preserve">Blasting Technician </t>
  </si>
  <si>
    <t>Prepares the surfaces of wind turbine components using abrasive blasting before these are treated with protective coatings. Requires experience in surface preparation and blasting techniques.</t>
  </si>
  <si>
    <t xml:space="preserve">Manufacturing manager </t>
  </si>
  <si>
    <t>Oversees the production of wind turbine components, ensuring efficiency and quality. Requires an HNC/HND or degree in engineering or manufacturing management.</t>
  </si>
  <si>
    <t>£30,000-50,000</t>
  </si>
  <si>
    <t xml:space="preserve">Production supervisor </t>
  </si>
  <si>
    <t>Supervises day-to-day manufacturing operations, ensuring production targets and quality standards are met. Requires suitable experience and/or an HNC/HND or degree in manufacturing or industrial engineering.</t>
  </si>
  <si>
    <t>CNC Machinist</t>
  </si>
  <si>
    <t>Operates CNC (Computer Numerical Control) machines to produce precision parts for wind turbines. Requires training or certification in CNC machining.</t>
  </si>
  <si>
    <t xml:space="preserve">Laser Operator </t>
  </si>
  <si>
    <t>Operates laser cutting machines to produce turbine parts with precision. Requires training in laser cutting technology.</t>
  </si>
  <si>
    <t>Jointing Operative</t>
  </si>
  <si>
    <t>Carries out the jointing of electrical cables for wind turbines, ensuring proper electrical connections. Requires a certificate in electrical cable jointing (such as from a City &amp; Guilds accredited training provider).</t>
  </si>
  <si>
    <t xml:space="preserve">NDT Inspector </t>
  </si>
  <si>
    <t>Uses non-destructive testing (NDT) methods to assess the integrity of wind turbine structures and components. Requires a certificate in NDT.</t>
  </si>
  <si>
    <t>Welder</t>
  </si>
  <si>
    <t>Performs welding tasks to fabricate and repair wind turbine components. Requires a welding certificate (such as from a City &amp; Guilds accredited training provider) and experience in structural and offshore welding.</t>
  </si>
  <si>
    <t>£25,000-45,000</t>
  </si>
  <si>
    <t xml:space="preserve">Plater </t>
  </si>
  <si>
    <t>Assembles and fits metal plates for turbine foundations and other structures. No formal qualification but requires experience in metal fabrication and plate fitting.</t>
  </si>
  <si>
    <t xml:space="preserve">Master </t>
  </si>
  <si>
    <t>The captain of a vessel responsible for transporting personnel and materials to and from the offshore wind farm site. Requires Master Mariner certification.</t>
  </si>
  <si>
    <t>Maritime</t>
  </si>
  <si>
    <t xml:space="preserve">Mate </t>
  </si>
  <si>
    <t>Assists the vessel master in navigation, safety, and operations during offshore wind farm activities. Requires an Officer of the Watch (OOW) certification that meets Standards of Training, Certification and Watchkeeping for Seafarers (STCW).</t>
  </si>
  <si>
    <t xml:space="preserve">Deckhand </t>
  </si>
  <si>
    <t>Supports the vessel crew by performing various tasks on deck, including loading and unloading equipment. Requires basic safety training to operate at sea that meets Standards of Training, Certification and Watchkeeping for Seafarers (STCW).</t>
  </si>
  <si>
    <t xml:space="preserve">Field Service Engineer </t>
  </si>
  <si>
    <t>Provides maintenance and troubleshooting for electrical and mechanical systems on vessels and  offshore wind infrastructure. Requires a degree in electrical, mechanical or marine engineering.</t>
  </si>
  <si>
    <t xml:space="preserve">Crew Manager </t>
  </si>
  <si>
    <t>Manages the crew for vessels and offshore operations, coordinating crew schedules and rotations and ensuring staffing and safety standards. No formal qualifications required but relevant experience and strong organisational and interpersonal skills.</t>
  </si>
  <si>
    <t xml:space="preserve">Vessel Supervisor </t>
  </si>
  <si>
    <t>Oversees the operation of support vessels used for offshore wind farm activities.  No formal qualifications required but relevant experience in marine operations and strong organisational and interpersonal skills.</t>
  </si>
  <si>
    <t xml:space="preserve">ROV Sub-Engineer/Pilot </t>
  </si>
  <si>
    <t xml:space="preserve">Operates remotely operated vehicles (ROVs) for underwater inspections and maintenance tasks. Generally requires an HNC/HND in marine science, engineering or computing science followed by certification in ROV operations, e.g., from an EAL (Excellence in Achievement &amp; Learning) accredited training provider. </t>
  </si>
  <si>
    <t xml:space="preserve">Diver/Dive Supervisor </t>
  </si>
  <si>
    <t xml:space="preserve">Divers perform underwater inspections and repairs, while dive supervisors manage the safety of diving operations. Requires a commercial diving certificate, from a UK Health and Safety Executive (HSE) approved training provider. </t>
  </si>
  <si>
    <t>£50,000-100,000</t>
  </si>
  <si>
    <t xml:space="preserve">Shipyard Manager </t>
  </si>
  <si>
    <t>Oversees the operations of shipyards involved in building and maintaining vessels for wind farm activities. No formal qualifications required but relevant experience in shipyard management or marine engineering.</t>
  </si>
  <si>
    <t>£45,000-65,000</t>
  </si>
  <si>
    <t xml:space="preserve">Ships Agent </t>
  </si>
  <si>
    <t>Acts as a liaison between shipowners, vessel operators, and port authorities for offshore wind farm vessels. No formal qualifications required but relevant experience in shipping logistics or port operations.</t>
  </si>
  <si>
    <t xml:space="preserve">Dock Master </t>
  </si>
  <si>
    <t>Manages dock operations where offshore wind farm vessels are loaded and unloaded. No formal qualifications required but relevant experience in port or marine operations.</t>
  </si>
  <si>
    <t xml:space="preserve">Dock Gateman </t>
  </si>
  <si>
    <t>Controls access to docks, ensuring security for offshore wind farm vessels and equipment. No formal qualifications required but relevant experience in port or security operations.</t>
  </si>
  <si>
    <t xml:space="preserve">Line Handler </t>
  </si>
  <si>
    <t>Assists with mooring and securing vessels at the dock during offshore wind farm operations. No formal qualifications required but relevant experience in port or mooring operations.</t>
  </si>
  <si>
    <t xml:space="preserve">Marine Coordinator </t>
  </si>
  <si>
    <t>Coordinates all marine operations related to offshore wind farm activities, ensuring safe and efficient movements of vessels and people. Requires a degree in marine operations or related field, and significant offshore experience.</t>
  </si>
  <si>
    <t xml:space="preserve">Shipwright </t>
  </si>
  <si>
    <t>Constructs and repairs wooden or composite structures on vessels used in offshore wind farm operations. Requires an HNC/HND in shipwright work or carpentry.</t>
  </si>
  <si>
    <t xml:space="preserve">Facilities Manager </t>
  </si>
  <si>
    <t xml:space="preserve">Manages the facilities and infrastructure of onshore support centres for the offshore wind farm. Requires suitable experience and/or qualifications in facilities management or engineering. </t>
  </si>
  <si>
    <t>£40,000-60,000</t>
  </si>
  <si>
    <t>Operations &amp; Maintenance</t>
  </si>
  <si>
    <t xml:space="preserve">Workshop manager </t>
  </si>
  <si>
    <t>Manages the onshore workshop where repairs and maintenance of wind farm equipment are performed. Requires suitable experience and/or qualifications in mechanical engineering or a related field.</t>
  </si>
  <si>
    <t xml:space="preserve">Rope Access and Blade Repair Technician </t>
  </si>
  <si>
    <t xml:space="preserve">Performs maintenance and repair on wind turbine blades using rope access techniques. Requires certification in rope access from an Industrial Rope Access Trade Association (IRATA) accredited training provider as well as certificates for safely working offshore, such as from the Global Wind Organisation (GWO).  </t>
  </si>
  <si>
    <t xml:space="preserve">Wind Turbine Technician </t>
  </si>
  <si>
    <t>Responsible for the operation and maintenance of offshore wind turbines, ensuring they operate efficiently and safely throughout their operational life. Requires an HNC/HND or degree in electrical, mechanical, or renewable energy engineering. In addition, must have certificates for safely working offshore, such as from the Global Wind Organisation (GWO).</t>
  </si>
  <si>
    <t xml:space="preserve">Fire Safety Technician </t>
  </si>
  <si>
    <t xml:space="preserve">Ensures that fire safety systems are properly installed and maintained on offshore wind farm platforms. Requires certification in fire safety, such as from the National Examination Board in Occupational Safety and Health (NEBOSH),  as well as certificates for safely working offshore, such as from the Global Wind Organisation (GWO).  </t>
  </si>
  <si>
    <t xml:space="preserve">Lift Technician </t>
  </si>
  <si>
    <t xml:space="preserve">Installs and maintains lifts used on offshore platforms and onshore facilities. Requires certification in lift installation and maintenance, such as from the Lift and Escalator Industry Association (LEIA) as well as certificates for safely working offshore, such as from the Global Wind Organisation (GWO).  </t>
  </si>
  <si>
    <t xml:space="preserve">Robotic Autonomous Systems (RAS) Operations Engineer </t>
  </si>
  <si>
    <t xml:space="preserve">Responsible for developing, operating, and maintaining robotic systems that can autonomously perform tasks related to the installation, inspection, maintenance, and repair of offshore wind farms. These can be aerial, submersible or 'on platform/turbine' devices. Requires a degree in Robotics Engineering, Mechanical Engineering, Electrical Engineering, Mechatronics, or Marine Engineering, as well as certificates for safely working offshore, such as from the Global Wind Organisation (GWO). </t>
  </si>
  <si>
    <t xml:space="preserve">Maritime Planning Officer </t>
  </si>
  <si>
    <t>Responsible for ensuring that offshore wind farm developments comply with maritime regulations and do not disrupt marine navigation or other sea users. Requires a degree in maritime studies, environmental planning or a related field. Must have knowledge of maritime laws and marine spatial planning.</t>
  </si>
  <si>
    <t>Project Development</t>
  </si>
  <si>
    <t xml:space="preserve">Procurement manager </t>
  </si>
  <si>
    <t>Oversees the purchasing of equipment, services, and materials needed for the offshore wind farm, ensuring cost-effectiveness and timely delivery. Requires a degree in supply chain management, business administration, or engineering. Must have previous experience of procurement for large-scale infrastructure or energy projects.</t>
  </si>
  <si>
    <t xml:space="preserve">Technical sales manager </t>
  </si>
  <si>
    <t>Responsible for selling technical solutions, such as wind turbines or associated equipment, to offshore wind farm developers. Requires a degree in engineering or a technical field related to wind energy. Must have technical knowledge of wind turbines and power systems.</t>
  </si>
  <si>
    <t xml:space="preserve">Electrical sales engineer </t>
  </si>
  <si>
    <t>Sells electrical equipment and systems for offshore wind farms, ensuring that the products meet technical specifications and project needs. Requires a degree in electrical engineering or related field. Must have experience of electrical systems for offshore wind projects.</t>
  </si>
  <si>
    <t>Financial analyst</t>
  </si>
  <si>
    <t>Assesses the financial viability of projects, monitors costs, and creates financial models to ensure profitability. Requires a degree in finance, economics, or business administration.</t>
  </si>
  <si>
    <t>Legal guidance</t>
  </si>
  <si>
    <t>Provides legal support to ensure that the offshore wind farm complies with local and international laws, including environmental and maritime regulations. Requires a Law degree with specialisation in environmental or energy law. Must have experience of offshore regulations.</t>
  </si>
  <si>
    <t>£45,000-55,000</t>
  </si>
  <si>
    <t xml:space="preserve">Project Director </t>
  </si>
  <si>
    <t xml:space="preserve">Oversees the planning, financing, and construction of the offshore wind farm. This includes site identification, securing permits, arranging financing, and managing stakeholders. Requires degree level qualifications in engineering, environmental science, renewable energy, or business management. Professional project management qualifications, strong financial and stakeholder management skills are highly desirable. </t>
  </si>
  <si>
    <t>£60,000-80,000</t>
  </si>
  <si>
    <t>Project Management</t>
  </si>
  <si>
    <t xml:space="preserve">Project Manager </t>
  </si>
  <si>
    <t xml:space="preserve">Manages the day-to-day running of the project, including  reporting, staff management and financial management. Requires degree level qualifications in a relevant engineering, scientific or economics subject. Professional project management qualifications are highly desirable.  </t>
  </si>
  <si>
    <t xml:space="preserve">Operations manager </t>
  </si>
  <si>
    <t>Oversees the day-to-day operations of an offshore wind farm, ensuring optimal performance and addressing maintenance and operational issues. Requires a degree in engineering, renewable energy, or operations management. Must have experience of managing large-scale renewable energy projects.</t>
  </si>
  <si>
    <t xml:space="preserve">Logistics Coordinator/Manager </t>
  </si>
  <si>
    <t>Organises the transportation of wind turbines, materials, and personnel to the offshore site, ensuring efficient and timely delivery. Requires a degree in logistics, supply chain management, or maritime studies and/or significant experience in offshore logistics, shipping, or project management.</t>
  </si>
  <si>
    <t>£30,000-45,000</t>
  </si>
  <si>
    <t>Manages public relations and stakeholder engagement, ensuring positive relations with local communities, government agencies, and other stakeholders. Requires qualifications and/or significant experince in communications, public relations, or marketing.</t>
  </si>
  <si>
    <t xml:space="preserve">Administrator </t>
  </si>
  <si>
    <t>Provides administrative support to the offshore wind farm project, managing documentation, scheduling, and communications within the project team. Requires qualifications and/or experience in business administration or a related field.</t>
  </si>
  <si>
    <t xml:space="preserve">Asset Integrity Manager </t>
  </si>
  <si>
    <t>Ensures that the wind farm's physical assets (turbines, cables, platforms) are maintained in good condition throughout the project’s lifecycle. Requires a degree in engineering or asset management. Must have experience of offshore wind farms.</t>
  </si>
  <si>
    <t xml:space="preserve">Site Supervisor </t>
  </si>
  <si>
    <t>Manages on-site activities, ensuring that installation and construction work is completed safely, on time, and according to the project plan. No formal qualifications required but must have experience in site supervision for offshore construction projects.</t>
  </si>
  <si>
    <t xml:space="preserve">Health and Safety Officer </t>
  </si>
  <si>
    <t>Responsible for ensuring that all offshore wind farm activities comply with health and safety regulations, and that risks are managed effectively. Requires a relevant certificate in occupational health and safety (such as NEBOSH or IOSH), as well as experience of offshore projects (e.g., renewable energy, oil and gas).</t>
  </si>
  <si>
    <t>TOTALS</t>
  </si>
  <si>
    <t>Minimum Skill Level</t>
  </si>
  <si>
    <t>Variable</t>
  </si>
  <si>
    <t>Degree</t>
  </si>
  <si>
    <t>Post-grad</t>
  </si>
  <si>
    <t>Total</t>
  </si>
  <si>
    <t>Experience required (years)</t>
  </si>
  <si>
    <t>No. Roles</t>
  </si>
  <si>
    <t>Onshore</t>
  </si>
  <si>
    <t>Offshore</t>
  </si>
  <si>
    <t>Totals</t>
  </si>
  <si>
    <t>P&amp;D</t>
  </si>
  <si>
    <t>M&amp;F</t>
  </si>
  <si>
    <t>I&amp;C</t>
  </si>
  <si>
    <t>D</t>
  </si>
  <si>
    <t>l</t>
  </si>
  <si>
    <t>Off/ Onshore</t>
  </si>
  <si>
    <t>Alt Grouping</t>
  </si>
  <si>
    <t>Projects</t>
  </si>
  <si>
    <t>Management</t>
  </si>
  <si>
    <t>Planning</t>
  </si>
  <si>
    <t>Procurement</t>
  </si>
  <si>
    <t>Sales</t>
  </si>
  <si>
    <t>Finance</t>
  </si>
  <si>
    <t>Legal</t>
  </si>
  <si>
    <t>Comunications &amp; engagement</t>
  </si>
  <si>
    <t>Public relations</t>
  </si>
  <si>
    <t>Administrative</t>
  </si>
  <si>
    <t>Health &amp; Safety</t>
  </si>
  <si>
    <t xml:space="preserve">Environmental </t>
  </si>
  <si>
    <t xml:space="preserve">Manufacturing  </t>
  </si>
  <si>
    <t>Quality &amp; Regulatory</t>
  </si>
  <si>
    <t>Machine operatives</t>
  </si>
  <si>
    <t>Technical roles</t>
  </si>
  <si>
    <t>Construction/Installation/Operations</t>
  </si>
  <si>
    <t>Construction</t>
  </si>
  <si>
    <t>Transport &amp; Logistics</t>
  </si>
  <si>
    <t>Skilled trades</t>
  </si>
  <si>
    <t>Electrical trades</t>
  </si>
  <si>
    <t xml:space="preserve">Engineering </t>
  </si>
  <si>
    <r>
      <t>Cable Testing Engineer</t>
    </r>
    <r>
      <rPr>
        <sz val="11"/>
        <color rgb="FFFF0000"/>
        <rFont val="Calibri"/>
        <family val="2"/>
        <scheme val="minor"/>
      </rPr>
      <t xml:space="preserve"> / HV Cable Engineer</t>
    </r>
  </si>
  <si>
    <t xml:space="preserve">Maritime </t>
  </si>
  <si>
    <t>Ship operations</t>
  </si>
  <si>
    <t>Subsea operations</t>
  </si>
  <si>
    <t>Port operations</t>
  </si>
  <si>
    <t xml:space="preserve">Data &amp; Communications </t>
  </si>
  <si>
    <t>Communications &amp; IT</t>
  </si>
  <si>
    <r>
      <t xml:space="preserve">Control Room </t>
    </r>
    <r>
      <rPr>
        <sz val="11"/>
        <color rgb="FFFF0000"/>
        <rFont val="Calibri"/>
        <family val="2"/>
        <scheme val="minor"/>
      </rPr>
      <t>Engineer/</t>
    </r>
    <r>
      <rPr>
        <sz val="11"/>
        <color theme="1"/>
        <rFont val="Calibri"/>
        <family val="2"/>
        <scheme val="minor"/>
      </rPr>
      <t xml:space="preserve">Technician </t>
    </r>
  </si>
  <si>
    <t>Alternative Grouping</t>
  </si>
  <si>
    <t>HV Cable Engineer / Cable Testing Engineer</t>
  </si>
  <si>
    <t xml:space="preserve">Design Engineer </t>
  </si>
  <si>
    <t xml:space="preserve">Naval Architect </t>
  </si>
  <si>
    <t xml:space="preserve">Carousel and Tensioner Operator </t>
  </si>
  <si>
    <t xml:space="preserve">Cable Jointer </t>
  </si>
  <si>
    <t xml:space="preserve">Manufacturing Manager </t>
  </si>
  <si>
    <t xml:space="preserve">Production Supervisor </t>
  </si>
  <si>
    <t xml:space="preserve">Workshop Manager </t>
  </si>
  <si>
    <t xml:space="preserve">Procurement Manager </t>
  </si>
  <si>
    <t xml:space="preserve">Technical Sales Manager </t>
  </si>
  <si>
    <t xml:space="preserve">Electrical Sales Engineer </t>
  </si>
  <si>
    <t>Financial Analyst</t>
  </si>
  <si>
    <t xml:space="preserve">Operations Manager </t>
  </si>
  <si>
    <t>CAD Technician</t>
  </si>
  <si>
    <t>entry</t>
  </si>
  <si>
    <t>intermediate</t>
  </si>
  <si>
    <t>senior</t>
  </si>
  <si>
    <t>Level</t>
  </si>
  <si>
    <t>Data &amp; Communications (ICT)</t>
  </si>
  <si>
    <t>Electrical Services</t>
  </si>
  <si>
    <t>Experience level</t>
  </si>
  <si>
    <t>Provides technical and regulatory advice and support to enable the wind farm to connect to the national electricity grid. Requires degree level qualifications in electrical engineering, power systems, renewable energy or a related field and experience of high voltage systems including the national grid. Also requires proficiency with grid modelling software.</t>
  </si>
  <si>
    <t>Optimises the wind farm site layout for maximum efficiency and cost-effectiveness while ensuring compliance with regulatory and environmental requirements. Requires degree level qualifications in civil engineering, environmental science, renewable energy, or related fields. Also requires proficiency with 3D modelling and geospatial systems software.</t>
  </si>
  <si>
    <t>Predicts and optimises the energy output of the wind farm over its operational life. Requires a degree in renewable energy, electrical engineering, meteorology, or a related technical field. Also requires proficiency with energy yield modelling software.</t>
  </si>
  <si>
    <t>Ensures that the wind farm's grid connection application process to the national grid progresses and that all technical and regulatory requirements are met. Requires a degree in electrical engineering, power systems or a related field. Must have experience in working with utility companies and understanding grid regulations.</t>
  </si>
  <si>
    <t>Captains a vessel and is responsible for transporting personnel and materials to and from the offshore wind farm site. Requires Master Mariner certification.</t>
  </si>
  <si>
    <t xml:space="preserve">Performs underwater inspections and repairs, and, as a dive supervisor, manages the safety of diving operations. Requires a commercial diving certificate, from a UK Health and Safety Executive (HSE) approved training provider. </t>
  </si>
  <si>
    <t>Sells technical solutions, such as wind turbines or associated equipment, to offshore wind farm developers. Requires a degree in engineering or a technical field related to wind energy. Must have technical knowledge of wind turbines and power systems.</t>
  </si>
  <si>
    <t>Ensures that offshore wind farm developments comply with maritime regulations and do not disrupt marine navigation or other sea users. Requires a degree in maritime studies, environmental planning or a related field. Must have knowledge of maritime laws and marine spatial planning.</t>
  </si>
  <si>
    <t>Carries out operation and maintenance activities for offshore wind turbines, ensuring they work efficiently and safely throughout their operational life. Requires an HNC/HND or degree in electrical, mechanical, or renewable energy engineering. In addition, must have certificates for safely working offshore, such as from the Global Wind Organisation (GWO).</t>
  </si>
  <si>
    <t>Ensures that all offshore wind farm activities comply with health and safety regulations, and that risks are managed effectively. Requires a relevant certificate in occupational health and safety (such as NEBOSH or IOSH), as well as experience of offshore projects (e.g., renewable energy, oil and gas).</t>
  </si>
  <si>
    <t>Consents Manager</t>
  </si>
  <si>
    <t>Geographic Information Systems (GIS) Technician</t>
  </si>
  <si>
    <t>Creates, maintains and analyses geographical data to support spatial planning. Requires a degree in geography or related subject, urban planning, civil engineering or computer science.</t>
  </si>
  <si>
    <t>yes</t>
  </si>
  <si>
    <t>Shortages</t>
  </si>
  <si>
    <t>Legal Counsel</t>
  </si>
  <si>
    <t>Minimum Qualification</t>
  </si>
  <si>
    <t>Skills and other Attributes</t>
  </si>
  <si>
    <t>technical writing, data analysis, IT literacy, data visualisation, GPS / GIS, regulatory compliance, communication, time management, problem solving</t>
  </si>
  <si>
    <t>technical writing, data analysis, IT literacy, data visualisation, GPS / GIS, communication, time management, problem solving, offshore working</t>
  </si>
  <si>
    <t>technical writing, data analysis, IT literacy, data visualisation, communication, time management, problem solving, offshore working</t>
  </si>
  <si>
    <t>technical writing, data analysis, IT literacy, data visualisation, GPS / GIS,  communication, time management, problem solving</t>
  </si>
  <si>
    <t>Secures the necessary permits, licences and regulatory approvals that are required to develop and operate an offshore wind farm. Requires a degree in a relevant subject area such as environmental science, marine biology/science, urban planning, geography/earth sciences or environmental law.</t>
  </si>
  <si>
    <t>project planning, resource management, technical writing, data analysis, IT literacy, data visualisation, regulatory compliance, communication, time management, decision making, problem solving, adaptability, self-motivation</t>
  </si>
  <si>
    <t>data analysis, IT literacy, programming, data visualisation, database management, simulation/modelling, communication, time management, problem solving</t>
  </si>
  <si>
    <t>technical writing, data analysis, IT literacy, CAD software, simulation/modelling, design, communication, time management, creative thinking</t>
  </si>
  <si>
    <t>technical writing, engineering, data analysis, IT literacy, data visualisation, GPS / GIS, regulatory compliance, communication, time management, problem solving</t>
  </si>
  <si>
    <t>technical writing, engineering, data analysis, IT literacy, data visualisation, GPS / GIS, simulation/modelling, regulatory compliance, communication, time management, problem solving</t>
  </si>
  <si>
    <t>technical writing, engineering, data analysis, IT literacy, data visualisation, CAD software, simulation/modelling, design, communication, time management, problem solving, creative thinking</t>
  </si>
  <si>
    <t xml:space="preserve">technical writing, engineering, data analysis, IT literacy, data visualisation, simulation/modelling, design, GPS / GIS, communication, time management, problem solving, creative thinking, offshore working, rotation and shift working (away from home) </t>
  </si>
  <si>
    <t xml:space="preserve">engineering, data analysis, IT literacy, data visualisation, design, communication, time management, problem solving, creative thinking, offshore working, rotation and shift working (away from home) </t>
  </si>
  <si>
    <t>resource management, IT literacy, communication, time management, interpersonal, adaptability</t>
  </si>
  <si>
    <t>resource management, equipment operations, communication, time management, interpersonal, adaptability</t>
  </si>
  <si>
    <t xml:space="preserve">IT literacy, equipment operations, health &amp; safety, communication, problem solving, offshore working, rotation and shift working (away from home) </t>
  </si>
  <si>
    <t xml:space="preserve">engineering, data analysis, IT literacy, data visualisation, design, health &amp; safety, communication, time management, problem solving, creative thinking, offshore working, rotation and shift working (away from home) </t>
  </si>
  <si>
    <t xml:space="preserve">technical writing, engineering, data analysis, IT literacy, data visualisation, regulatory compliance, health &amp; safety, communication, time management, interpersonal, adaptability, creative thinking, decision making, problem solving, offshore working, rotation and shift working (away from home) </t>
  </si>
  <si>
    <t xml:space="preserve">equipment operations, health &amp; safety, communication, offshore working, working at heights, rotation and shift working (away from home) </t>
  </si>
  <si>
    <t xml:space="preserve">regulatory compliance, equipment operations, health &amp; safety, communication, offshore working, working at heights, rotation and shift working (away from home) </t>
  </si>
  <si>
    <t xml:space="preserve">technical writing, engineering, data analysis, IT literacy, data visualisation, regulatory compliance, health &amp; safety, communication, time management, decision making, problem solving, offshore working, rotation and shift working (away from home) </t>
  </si>
  <si>
    <t>resource management, IT literacy, regulatory compliance, communication, time management, interpersonal</t>
  </si>
  <si>
    <t>project planning, budgeting, resource management, engineering, IT literacy, equipment operations, health &amp; safety, communication, time management, interpersonal, decision making, problem solving, leadership, motivational, emotional intelligence, negotiation, self-motivation</t>
  </si>
  <si>
    <t>resource management, engineering, IT literacy, equipment operations, health &amp; safety, communication, time management, interpersonal, decision making, problem solving</t>
  </si>
  <si>
    <t>IT literacy, equipment operations, health &amp; safety, communication</t>
  </si>
  <si>
    <t>IT literacy, regulatory compliance, equipment operations, health &amp; safety, communication</t>
  </si>
  <si>
    <t>equipment operations, health &amp; safety, communication</t>
  </si>
  <si>
    <t xml:space="preserve">equipment operations, health &amp; safety, communication, interpersonal, adaptability, offshore working, rotation and shift working (away from home) </t>
  </si>
  <si>
    <t xml:space="preserve">engineering, IT literacy, health &amp; safety, communication, time management, problem solving, creative thinking, offshore working, rotation and shift working (away from home) </t>
  </si>
  <si>
    <t xml:space="preserve">resource management, IT literacy, health &amp; safety, communication, time management, interpersonal, adaptability, decision making, problem solving, emotional intelligence, offshore working, rotation and shift working (away from home) </t>
  </si>
  <si>
    <t xml:space="preserve">resource management, IT literacy, navigation, health &amp; safety, communication, time management, interpersonal, adaptability, offshore working, rotation and shift working (away from home) </t>
  </si>
  <si>
    <t xml:space="preserve">IT literacy, GPS / GIS,  navigation, equipment operations, health &amp; safety, communication, problem solving, creative thinking, offshore working, rotation and shift working (away from home) </t>
  </si>
  <si>
    <t xml:space="preserve">engineering, IT literacy, software engineering, robotics, GPS / GIS,  navigation, equipment operations, health &amp; safety, communication, problem solving, creative thinking, offshore working, rotation and shift working (away from home) </t>
  </si>
  <si>
    <t>resource management, budgeting, IT literacy, health &amp; safety, communication, time management, interpersonal, adaptability, decision making, problem solving</t>
  </si>
  <si>
    <t>resource management, budgeting, IT literacy, communication, time management, interpersonal, adaptability, creative thinking, decision making, problem solving</t>
  </si>
  <si>
    <t>resource management, IT literacy, equipment operations, health &amp; safety, communication, interpersonal, adaptability</t>
  </si>
  <si>
    <t>engineering, technical writing, equipment operations, health &amp; safety, communication, time management, creative thinking</t>
  </si>
  <si>
    <t>resource management, engineering, IT literacy, health &amp; safety, communication, time management, interpersonal, adaptability, decision making, problem solving</t>
  </si>
  <si>
    <t xml:space="preserve">IT literacy, equipment operations, health &amp; safety, communication, decision making, self-motivation, offshore working, working at heights, rotation and shift working (away from home) </t>
  </si>
  <si>
    <t xml:space="preserve">engineering, data analysis, IT literacy, equipment operations, health &amp; safety, communication, decision making, self-motivation, offshore working, working at heights, rotation and shift working (away from home) </t>
  </si>
  <si>
    <t xml:space="preserve">IT literacy, equipment operations, regulatory compliance, health &amp; safety, communication, decision making, self-motivation, offshore working, working at heights, rotation and shift working (away from home) </t>
  </si>
  <si>
    <t xml:space="preserve">engineering, IT literacy, equipment operations, regulatory compliance, health &amp; safety, communication, decision making, self-motivation, offshore working, working at heights, rotation and shift working (away from home) </t>
  </si>
  <si>
    <t>project planning, technical writing, data analysis, IT literacy, data visualisation, regulatory compliance, communication, time management, decision making, problem solving, adaptability, self-motivation</t>
  </si>
  <si>
    <t>project planning, resource management, budgeting, IT literacy, communication, time management, interpersonal, adaptability, creative thinking, decision making, problem solving, negotiation, self-motivation</t>
  </si>
  <si>
    <t>project planning, resource management, budgeting, engineering, IT literacy, communication, time management, interpersonal, adaptability, creative thinking, decision making, problem solving, negotiation, self-motivation</t>
  </si>
  <si>
    <t>project planning, resource management, budgeting, IT literacy, data visualisation, communication, time management, interpersonal, adaptability, creative thinking, decision making, problem solving, self-motivation</t>
  </si>
  <si>
    <t>project planning, regulatory compliance, IT literacy, health &amp; safety, communication, time management, interpersonal, creative thinking, decision making, problem solving, self-motivation</t>
  </si>
  <si>
    <t>project planning, budgeting, resource management, IT literacy, data visualisation, regulatory compliance, health &amp; safety, communication, time management, interpersonal, adaptability, creative thinking, decision making, problem solving, leadership, motivational, emotional intelligence, negotiation, self-motivation</t>
  </si>
  <si>
    <t>project planning, budgeting, resource management, IT literacy, data visualisation, health &amp; safety, communication, time management, interpersonal, adaptability, decision making, problem solving, negotiation, self-motivation</t>
  </si>
  <si>
    <t>IT literacy, data visualisation, communication, time management, interpersonal, adaptability, creative thinking, decision making, problem solving, motivational, emotional intelligence, negotiation, self-motivation</t>
  </si>
  <si>
    <t>project planning, budgeting, resource management, IT literacy, data visualisation, communication, time management, interpersonal, adaptability, problem solving, negotiation, self-motivation</t>
  </si>
  <si>
    <t>project planning, budgeting, resource management, engineering, IT literacy, data visualisation, regulatory compliance, health &amp; safety, communication, time management, interpersonal, adaptability, creative thinking, decision making, problem solving, leadership, motivational, emotional intelligence, negotiation, self-motivation</t>
  </si>
  <si>
    <t>project planning, resource management, IT literacy, health &amp; safety, communication, time management, decision making, problem solving</t>
  </si>
  <si>
    <t>resource management, engineering, IT literacy, regulatory compliance, health &amp; safety, communication, time management, decision making, problem solving</t>
  </si>
  <si>
    <t>IT literacy, regulatory compliance, health &amp; safety, communication, time management, decision making, problem solving</t>
  </si>
  <si>
    <t>data analysis, IT literacy, programming, data visualisation, machine learning and AI, database management, simulation/modelling, IoT, communication, time management, problem solving</t>
  </si>
  <si>
    <t>data analysis, IT literacy, programming, data visualisation, machine learning and AI, database management, simulation/modelling, IoT, communication, time management, problem solving, offshore working</t>
  </si>
  <si>
    <t>data analysis, IT literacy, programming, data visualisation, machine learning and AI, software engineering, database management, simulation/modelling, IoT, communication, time management, problem solving</t>
  </si>
  <si>
    <t>project planning, resource management, data analysis, IT literacy, programming, data visualisation, software engineering, database management, IoT, communication, time management, interpersonal, decision making, problem solving, adaptability, self-motivation</t>
  </si>
  <si>
    <t>project planning, technical writing, engineering, data analysis, IT literacy, data visualisation, GPS / GIS, regulatory compliance, communication, time management, problem solving</t>
  </si>
  <si>
    <t>technical writing, engineering, data analysis, IT literacy, data visualisation, GPS / GIS, regulatory compliance, communication, time management, problem solving, offshore working</t>
  </si>
  <si>
    <t xml:space="preserve">IT literacy, equipment operations, health &amp; safety, communication, time management, problem solving, offshore working, rotation and shift working (away from home) </t>
  </si>
  <si>
    <t>Mode</t>
  </si>
  <si>
    <t>Onsite</t>
  </si>
  <si>
    <t>Hybrid</t>
  </si>
  <si>
    <t>Communications &amp; Engagement Coordinator</t>
  </si>
  <si>
    <t>Manages public relations and stakeholder engagement, ensuring positive relations with local communities, government agencies, and other stakeholders. Requires qualifications and/or significant experience in communications, public relations, or marketing.</t>
  </si>
  <si>
    <t>Responsible for ensuring the safe operation, maintenance, and management of high-voltage (HV) electrical systems. This includes overseeing and authorizing switching operations, isolations, and the safety of personnel working on high-voltage equipment such as substations, transformers, and electrical circuits. This requires a degree in electrical engineering, power systems engineering or related field, extensive experience (typically 5-10 years) in high voltage systems, SAP certification and offshore safety certification.</t>
  </si>
  <si>
    <t>Operates carousel and tensioner equipment used in laying cables for offshore wind farms. Requires training in operating marine cable equipment, as well as certificates for safely working offshore, such as from the Global Wind Organisation (GWO).</t>
  </si>
  <si>
    <t>Installs and maintains electrical cables, especially those used in offshore wind farm transmission systems. Requires certification in high and low voltage cable jointing (such as from a City &amp; Guilds accredited training provider), as well as certificates for safely working offshore, such as from the Global Wind Organisation (GWO).</t>
  </si>
  <si>
    <t>Specialises in the installation, maintenance, and repair of high-voltage systems used in offshore wind farms. Requires HV technician certification (such as from a City &amp; Guilds accredited training provider) and ideally experience in offshore environments, as well as certificates for safely working offshore, such as from the Global Wind Organisation (GWO).</t>
  </si>
  <si>
    <t>Manages the offshore installation process, ensuring turbines, cables, and substations are correctly installed at sea. Requires a degree in offshore engineering, marine engineering, or mechanical engineering, as well as certificates for safely working offshore, such as from the Global Wind Organisation (GWO).</t>
  </si>
  <si>
    <t>Performs welding tasks to fabricate and repair wind turbine components. Requires a welding certificate (such as from a City &amp; Guilds accredited training provider) and experience in structural and offshore welding, as well as certificates for safely working offshore, such as from the Global Wind Organisation (GWO).</t>
  </si>
  <si>
    <t>Assembles and fits metal plates for turbine foundations and other structures. No formal qualification but requires experience in metal fabrication and plate fitting, as well as certificates for safely working offshore, such as from the Global Wind Organisation (GWO).</t>
  </si>
  <si>
    <t xml:space="preserve">Develops, operates, and maintains robotic systems that can autonomously perform tasks related to the installation, inspection, maintenance, and repair of offshore wind farms. These can be aerial, submersible or 'on platform/turbine' devices. Requires a degree in robotics engineering, mechanical engineering, electrical engineering, mechatronics, or marine engineering, as well as certificates for safely working offshore, such as from the Global Wind Organisation (GWO). </t>
  </si>
  <si>
    <t xml:space="preserve">navigation, resource management, IT literacy, GPS / GIS, regulatory compliance, equipment operations, health &amp; safety, communication, time management, interpersonal, adaptability, creative thinking, decision making, problem solving, leadership, motivational, emotional intelligence, negotiation, self-motivation, offshore working, rotation and shift working (away from home) </t>
  </si>
  <si>
    <t xml:space="preserve">navigation, resource management, IT literacy, GPS / GIS, regulatory compliance,  equipment operations, health &amp; safety, communication, time management, interpersonal, adaptability, creative thinking, decision making, problem solving, motivational, emotional intelligence, negotiation, self-motivation, offshore working, rotation and shift working (away from home) </t>
  </si>
  <si>
    <t>No. roles</t>
  </si>
  <si>
    <t>Notes to accompany the Offshore Wind job role file</t>
  </si>
  <si>
    <t>planning and development project phase</t>
  </si>
  <si>
    <t>manufacturing and fabrication project phase</t>
  </si>
  <si>
    <t>installation and commissioning project phase</t>
  </si>
  <si>
    <t>operations and maintenance project phase</t>
  </si>
  <si>
    <t>Minimum qualification</t>
  </si>
  <si>
    <t>Location</t>
  </si>
  <si>
    <t>each job is grouped in one of nine different groupings</t>
  </si>
  <si>
    <t>whether there is an existing or expected shortage in this particular job role in the offshore wind sector</t>
  </si>
  <si>
    <t xml:space="preserve">there are three levels: entry, intermediate and senior that broadly align with the amount of experience that wil be required to gain a position in that role. Entry means straight from school, college or university, with the appropriate qualification, but no or limited experience. Intermediate roles usually require some relevant work experience, from several months to several years, in some cases this can be gained while training. Senior roles usually require several years of experience. NB in all cases it is possible to progress from entry to intermediate to senior roles. </t>
  </si>
  <si>
    <t>decommissioning project phase</t>
  </si>
  <si>
    <t>typically the minimum qualification required. Variable signifies either no formal qualifications required, or that experience can substitute for lack of formal qualifications.</t>
  </si>
  <si>
    <t>this signifies whether there is a relevant apprenticeship framework that could allow entry to a particular role. Depending on the role, further training or study beyond the apprenticeship may be required, e.g. to gain specific certificates.</t>
  </si>
  <si>
    <t>whether the job requires you to work onsite or offers hybrid (some onsite, some at home) working</t>
  </si>
  <si>
    <t>Skills and other attributes</t>
  </si>
  <si>
    <t>Job description</t>
  </si>
  <si>
    <t>brief description of the job role and any qualifications that are required</t>
  </si>
  <si>
    <t xml:space="preserve">describes some of the key technical and meta skills and any other attributes required for the role </t>
  </si>
  <si>
    <t>Relevant apprenticeship framework</t>
  </si>
  <si>
    <t>whether the job role is onshore, offshore or a combination of both. In case of combinations this can mean that both on and offshore working is required or that specific jobs will be on or offshore.</t>
  </si>
  <si>
    <t xml:space="preserve">Organises the transport of turbine components, personnel, and materials between onshore and offshore locations. No formal qualifications required but must be experienced in logistics and transportation management of extremely long/large loads. </t>
  </si>
  <si>
    <r>
      <rPr>
        <b/>
        <u/>
        <sz val="11"/>
        <color theme="1"/>
        <rFont val="Calibri"/>
        <family val="2"/>
        <scheme val="minor"/>
      </rPr>
      <t>Note</t>
    </r>
    <r>
      <rPr>
        <b/>
        <sz val="11"/>
        <color theme="1"/>
        <rFont val="Calibri"/>
        <family val="2"/>
        <scheme val="minor"/>
      </rPr>
      <t>: Every effort has been made to ensure the accuracy and completeness of the information contained in this publication at the time of going to press (December 2024). However, changes may occur after publication, and the authors accept no responsibility for any inaccuracies or omissions that may arise subsequently. Readers are encouraged to verify any critical details independently.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</si>
</sst>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1"/>
      <color theme="1"/>
      <name val="Wingdings"/>
      <charset val="2"/>
    </font>
    <font>
      <b/>
      <sz val="11"/>
      <name val="Calibri"/>
      <family val="2"/>
      <scheme val="minor"/>
    </font>
    <font>
      <sz val="11"/>
      <name val="Calibri"/>
      <family val="2"/>
      <scheme val="minor"/>
    </font>
    <font>
      <sz val="11"/>
      <color rgb="FFFF0000"/>
      <name val="Calibri"/>
      <family val="2"/>
      <scheme val="minor"/>
    </font>
    <font>
      <b/>
      <u/>
      <sz val="11"/>
      <color theme="1"/>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00B050"/>
        <bgColor indexed="64"/>
      </patternFill>
    </fill>
    <fill>
      <patternFill patternType="solid">
        <fgColor theme="5" tint="0.39997558519241921"/>
        <bgColor indexed="64"/>
      </patternFill>
    </fill>
    <fill>
      <patternFill patternType="solid">
        <fgColor theme="5" tint="-0.249977111117893"/>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55">
    <xf numFmtId="0" fontId="0" fillId="0" borderId="0" xfId="0"/>
    <xf numFmtId="0" fontId="1" fillId="0" borderId="0" xfId="0" applyFont="1" applyAlignment="1">
      <alignment horizontal="left" vertical="top" wrapText="1"/>
    </xf>
    <xf numFmtId="0" fontId="0" fillId="0" borderId="0" xfId="0" applyAlignment="1">
      <alignment vertical="top"/>
    </xf>
    <xf numFmtId="0" fontId="0" fillId="0" borderId="0" xfId="0" applyAlignment="1">
      <alignment horizontal="center" vertical="center"/>
    </xf>
    <xf numFmtId="0" fontId="1" fillId="0" borderId="0" xfId="0" applyFont="1"/>
    <xf numFmtId="0" fontId="1" fillId="3" borderId="0" xfId="0" applyFont="1" applyFill="1"/>
    <xf numFmtId="0" fontId="0" fillId="0" borderId="0" xfId="0" applyAlignment="1">
      <alignment wrapText="1"/>
    </xf>
    <xf numFmtId="0" fontId="2" fillId="3" borderId="0" xfId="0" applyFont="1" applyFill="1" applyAlignment="1">
      <alignment horizontal="center" vertical="center" wrapText="1"/>
    </xf>
    <xf numFmtId="0" fontId="1" fillId="0" borderId="0" xfId="0" applyFont="1" applyAlignment="1">
      <alignment wrapText="1"/>
    </xf>
    <xf numFmtId="0" fontId="0" fillId="0" borderId="0" xfId="0" applyAlignment="1">
      <alignment horizontal="center" vertical="center" wrapText="1"/>
    </xf>
    <xf numFmtId="0" fontId="0" fillId="3" borderId="0" xfId="0" applyFill="1" applyAlignment="1">
      <alignment horizontal="center" vertical="center" wrapText="1"/>
    </xf>
    <xf numFmtId="0" fontId="1" fillId="3" borderId="0" xfId="0" applyFont="1" applyFill="1" applyAlignment="1">
      <alignment vertical="top"/>
    </xf>
    <xf numFmtId="0" fontId="1" fillId="3" borderId="0" xfId="0" applyFont="1" applyFill="1" applyAlignment="1">
      <alignment vertical="top" wrapText="1"/>
    </xf>
    <xf numFmtId="0" fontId="0" fillId="0" borderId="0" xfId="0" applyAlignment="1">
      <alignment vertical="top" wrapText="1"/>
    </xf>
    <xf numFmtId="0" fontId="4" fillId="0" borderId="0" xfId="0" applyFont="1" applyAlignment="1">
      <alignment vertical="top"/>
    </xf>
    <xf numFmtId="0" fontId="4" fillId="0" borderId="0" xfId="0" applyFont="1" applyAlignment="1">
      <alignment vertical="top" wrapText="1"/>
    </xf>
    <xf numFmtId="0" fontId="1" fillId="3" borderId="0" xfId="1" applyFill="1" applyAlignment="1">
      <alignment vertical="top"/>
    </xf>
    <xf numFmtId="0" fontId="1" fillId="3" borderId="0" xfId="1" applyFill="1" applyAlignment="1">
      <alignment vertical="top" wrapText="1"/>
    </xf>
    <xf numFmtId="0" fontId="0" fillId="3" borderId="0" xfId="0" applyFill="1" applyAlignment="1">
      <alignment vertical="top" wrapText="1"/>
    </xf>
    <xf numFmtId="0" fontId="1" fillId="0" borderId="0" xfId="0" applyFont="1" applyAlignment="1">
      <alignment vertical="top"/>
    </xf>
    <xf numFmtId="0" fontId="1" fillId="0" borderId="0" xfId="0" applyFont="1" applyAlignment="1">
      <alignment vertical="top" wrapText="1"/>
    </xf>
    <xf numFmtId="0" fontId="3" fillId="2" borderId="0" xfId="0" applyFont="1" applyFill="1" applyAlignment="1">
      <alignment vertical="center" wrapText="1"/>
    </xf>
    <xf numFmtId="0" fontId="0" fillId="3" borderId="0" xfId="0" applyFill="1" applyAlignment="1">
      <alignment horizontal="center" vertical="center"/>
    </xf>
    <xf numFmtId="0" fontId="0" fillId="3" borderId="0" xfId="0" applyFill="1" applyAlignment="1">
      <alignment vertical="center"/>
    </xf>
    <xf numFmtId="0" fontId="0" fillId="0" borderId="0" xfId="0" applyAlignment="1">
      <alignment vertical="center"/>
    </xf>
    <xf numFmtId="0" fontId="1" fillId="3" borderId="0" xfId="0" applyFont="1" applyFill="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center"/>
    </xf>
    <xf numFmtId="0" fontId="3" fillId="2" borderId="0" xfId="0" applyFont="1" applyFill="1" applyAlignment="1">
      <alignment vertical="center"/>
    </xf>
    <xf numFmtId="0" fontId="1" fillId="3" borderId="0" xfId="0" applyFont="1" applyFill="1" applyAlignment="1">
      <alignment horizontal="center" vertical="center" wrapText="1"/>
    </xf>
    <xf numFmtId="0" fontId="1" fillId="0" borderId="0" xfId="0" applyFont="1" applyAlignment="1">
      <alignment vertical="center" wrapText="1"/>
    </xf>
    <xf numFmtId="0" fontId="0" fillId="0" borderId="0" xfId="0" applyAlignment="1">
      <alignment vertical="center" wrapText="1"/>
    </xf>
    <xf numFmtId="0" fontId="0" fillId="4" borderId="0" xfId="0" applyFill="1" applyAlignment="1">
      <alignment vertical="top"/>
    </xf>
    <xf numFmtId="0" fontId="5" fillId="0" borderId="0" xfId="0" applyFont="1" applyAlignment="1">
      <alignment vertical="top"/>
    </xf>
    <xf numFmtId="0" fontId="1" fillId="0" borderId="0" xfId="0" applyFont="1" applyAlignment="1">
      <alignment horizontal="left" vertical="center"/>
    </xf>
    <xf numFmtId="0" fontId="6"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xf>
    <xf numFmtId="0" fontId="1" fillId="0" borderId="0" xfId="0" applyFont="1" applyAlignment="1">
      <alignment horizontal="right" vertical="center"/>
    </xf>
    <xf numFmtId="0" fontId="2" fillId="0" borderId="0" xfId="0" applyFont="1" applyAlignment="1">
      <alignment horizontal="center" vertical="center"/>
    </xf>
    <xf numFmtId="0" fontId="3" fillId="2" borderId="0" xfId="0" applyFont="1" applyFill="1" applyAlignment="1">
      <alignment horizontal="center" vertical="center" wrapText="1"/>
    </xf>
    <xf numFmtId="0" fontId="1" fillId="0" borderId="0" xfId="0" applyFont="1" applyAlignment="1">
      <alignment horizontal="center"/>
    </xf>
    <xf numFmtId="0" fontId="0" fillId="0" borderId="0" xfId="0" applyAlignment="1">
      <alignment horizontal="center" wrapText="1"/>
    </xf>
    <xf numFmtId="0" fontId="6" fillId="0" borderId="0" xfId="0" applyFont="1" applyAlignment="1">
      <alignment vertical="top" wrapText="1"/>
    </xf>
    <xf numFmtId="0" fontId="0" fillId="5" borderId="0" xfId="0" applyFill="1" applyAlignment="1">
      <alignment horizontal="center" vertical="center"/>
    </xf>
    <xf numFmtId="0" fontId="0" fillId="6" borderId="0" xfId="0" applyFill="1" applyAlignment="1">
      <alignment horizontal="center" vertical="center"/>
    </xf>
    <xf numFmtId="0" fontId="0" fillId="7" borderId="0" xfId="0" applyFill="1" applyAlignment="1">
      <alignment horizontal="center" vertical="center"/>
    </xf>
    <xf numFmtId="1" fontId="0" fillId="0" borderId="0" xfId="0" applyNumberFormat="1" applyAlignment="1">
      <alignment horizontal="center" vertical="center" wrapText="1"/>
    </xf>
    <xf numFmtId="0" fontId="1" fillId="0" borderId="0" xfId="0" applyFont="1" applyAlignment="1">
      <alignment horizontal="right" vertical="center" wrapText="1"/>
    </xf>
    <xf numFmtId="0" fontId="2" fillId="0" borderId="0" xfId="0" applyFont="1"/>
    <xf numFmtId="1" fontId="2" fillId="0" borderId="0" xfId="0" applyNumberFormat="1" applyFont="1" applyAlignment="1">
      <alignment horizontal="center" vertical="center" wrapText="1"/>
    </xf>
    <xf numFmtId="0" fontId="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cellXfs>
  <cellStyles count="2">
    <cellStyle name="Normal" xfId="0" builtinId="0"/>
    <cellStyle name="RowLevel_1" xfId="1" builtinId="1" iLevel="0"/>
  </cellStyles>
  <dxfs count="52">
    <dxf>
      <fill>
        <patternFill>
          <bgColor theme="9" tint="0.59996337778862885"/>
        </patternFill>
      </fill>
    </dxf>
    <dxf>
      <fill>
        <patternFill>
          <bgColor theme="4" tint="0.59996337778862885"/>
        </patternFill>
      </fill>
    </dxf>
    <dxf>
      <fill>
        <patternFill>
          <bgColor theme="5" tint="0.59996337778862885"/>
        </patternFill>
      </fill>
    </dxf>
    <dxf>
      <fill>
        <patternFill>
          <bgColor theme="9" tint="0.59996337778862885"/>
        </patternFill>
      </fill>
    </dxf>
    <dxf>
      <fill>
        <patternFill>
          <bgColor theme="4" tint="0.59996337778862885"/>
        </patternFill>
      </fill>
    </dxf>
    <dxf>
      <fill>
        <patternFill>
          <bgColor theme="5" tint="0.59996337778862885"/>
        </patternFill>
      </fill>
    </dxf>
    <dxf>
      <fill>
        <patternFill>
          <bgColor rgb="FFCCFF66"/>
        </patternFill>
      </fill>
    </dxf>
    <dxf>
      <fill>
        <patternFill>
          <bgColor rgb="FF99FF33"/>
        </patternFill>
      </fill>
    </dxf>
    <dxf>
      <numFmt numFmtId="0" formatCode="General"/>
      <alignment vertical="center" textRotation="0" indent="0" justifyLastLine="0" shrinkToFit="0" readingOrder="0"/>
    </dxf>
    <dxf>
      <alignment horizontal="general" vertical="center" textRotation="0" wrapText="0" indent="0" justifyLastLine="0" shrinkToFit="0" readingOrder="0"/>
    </dxf>
    <dxf>
      <alignment vertical="center" textRotation="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general" vertical="bottom"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Wingdings"/>
        <charset val="2"/>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Wingdings"/>
        <charset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Wingdings"/>
        <charset val="2"/>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Wingdings"/>
        <charset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Wingdings"/>
        <charset val="2"/>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Wingdings"/>
        <charset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Wingdings"/>
        <charset val="2"/>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Wingdings"/>
        <charset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Wingdings"/>
        <charset val="2"/>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Wingdings"/>
        <charset val="2"/>
        <scheme val="none"/>
      </font>
      <alignment horizontal="center" vertical="center"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indent="0" justifyLastLine="0" shrinkToFit="0" readingOrder="0"/>
    </dxf>
    <dxf>
      <font>
        <b/>
        <i val="0"/>
        <strike val="0"/>
        <condense val="0"/>
        <extend val="0"/>
        <outline val="0"/>
        <shadow val="0"/>
        <u val="none"/>
        <vertAlign val="baseline"/>
        <sz val="11"/>
        <color auto="1"/>
        <name val="Calibri"/>
        <family val="2"/>
        <scheme val="minor"/>
      </font>
      <fill>
        <patternFill patternType="solid">
          <fgColor indexed="64"/>
          <bgColor theme="4" tint="0.79998168889431442"/>
        </patternFill>
      </fill>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general" vertical="bottom"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Wingdings"/>
        <charset val="2"/>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Wingdings"/>
        <charset val="2"/>
        <scheme val="none"/>
      </font>
      <numFmt numFmtId="1" formatCode="0"/>
      <alignment horizontal="center" vertical="center" textRotation="0" wrapText="1" indent="0" justifyLastLine="0" shrinkToFit="0" readingOrder="0"/>
    </dxf>
    <dxf>
      <font>
        <b val="0"/>
        <i val="0"/>
        <strike val="0"/>
        <condense val="0"/>
        <extend val="0"/>
        <outline val="0"/>
        <shadow val="0"/>
        <u val="none"/>
        <vertAlign val="baseline"/>
        <sz val="11"/>
        <color theme="1"/>
        <name val="Wingdings"/>
        <charset val="2"/>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Wingdings"/>
        <charset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Wingdings"/>
        <charset val="2"/>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Wingdings"/>
        <charset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Wingdings"/>
        <charset val="2"/>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Wingdings"/>
        <charset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Wingdings"/>
        <charset val="2"/>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Wingdings"/>
        <charset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Wingdings"/>
        <charset val="2"/>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Wingdings"/>
        <charset val="2"/>
        <scheme val="none"/>
      </font>
      <alignment horizontal="center" vertical="center"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auto="1"/>
        <name val="Calibri"/>
        <family val="2"/>
        <scheme val="minor"/>
      </font>
      <fill>
        <patternFill patternType="solid">
          <fgColor indexed="64"/>
          <bgColor theme="4" tint="0.79998168889431442"/>
        </patternFill>
      </fill>
      <alignment horizontal="general" vertical="center" textRotation="0" wrapText="1" indent="0" justifyLastLine="0" shrinkToFit="0" readingOrder="0"/>
    </dxf>
  </dxfs>
  <tableStyles count="0" defaultTableStyle="TableStyleMedium2" defaultPivotStyle="PivotStyleLight16"/>
  <colors>
    <mruColors>
      <color rgb="FF99FF33"/>
      <color rgb="FFCCFF66"/>
      <color rgb="FF00CC99"/>
      <color rgb="FFFFFF00"/>
      <color rgb="FFDC7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Mark Morrison" id="{6BAF36A7-5346-4A74-A30E-FCC7E980D597}" userId="S::mark.morrison@optimat.co.uk::d812b475-ddfe-4c8d-9631-9140c3824895" providerId="AD"/>
  <person displayName="Jordan Stodart" id="{ED91DED2-9272-4B24-8809-A147D9B556BE}" userId="S::Jordan.Stodart@optimat.co.uk::79c895d4-9c87-4c2e-b6be-ad140df656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2F41C7A-2F9B-4B06-A0C9-15178B8AE1C9}" name="Table245235625" displayName="Table245235625" ref="A1:O87" headerRowDxfId="51">
  <autoFilter ref="A1:O87" xr:uid="{52482F57-EF23-4D6F-9979-AD94A71DFB03}"/>
  <sortState xmlns:xlrd2="http://schemas.microsoft.com/office/spreadsheetml/2017/richdata2" ref="A2:O87">
    <sortCondition ref="N1:N87"/>
  </sortState>
  <tableColumns count="15">
    <tableColumn id="1" xr3:uid="{1DC7254A-DAED-47DD-8F81-26CCAE69FA00}" name="Job Role" totalsRowLabel="Total" dataDxfId="50"/>
    <tableColumn id="2" xr3:uid="{2E77DFB1-2448-42A3-8929-9B97839DCE28}" name="Job Description" dataDxfId="49"/>
    <tableColumn id="13" xr3:uid="{F164D324-8D99-427B-BEBB-A03D4013D872}" name="Skills and other Attributes" dataDxfId="48"/>
    <tableColumn id="3" xr3:uid="{4094E229-9E1A-4DD2-AD31-6BB39F328CE5}" name="P&amp;D" dataDxfId="47" totalsRowDxfId="46"/>
    <tableColumn id="4" xr3:uid="{8FD1208F-1E63-470A-92B7-CEB1CDC53417}" name="M&amp;F" dataDxfId="45" totalsRowDxfId="44"/>
    <tableColumn id="5" xr3:uid="{D45467E6-6E35-46A9-9FAE-A5870101394D}" name="I&amp;C" dataDxfId="43" totalsRowDxfId="42"/>
    <tableColumn id="6" xr3:uid="{313CC162-F2F1-4FDB-BC44-D223859F89FF}" name="O&amp;M" dataDxfId="41" totalsRowDxfId="40"/>
    <tableColumn id="7" xr3:uid="{66F1C695-1798-4852-BF7C-468EEAB17A2D}" name="D" dataDxfId="39" totalsRowDxfId="38"/>
    <tableColumn id="12" xr3:uid="{93A33CDC-14E8-4E9C-AF7C-1EA64A3079BF}" name="Relevant apprenticeship framework" dataDxfId="37" totalsRowDxfId="36"/>
    <tableColumn id="8" xr3:uid="{0E8C2ADE-06B9-45A2-BAD3-6A1D6C9C9FD3}" name="Minimum Qualification" dataDxfId="35" totalsRowDxfId="34"/>
    <tableColumn id="9" xr3:uid="{B4BC592F-05D5-4F16-9892-9444647D82B3}" name="Level" dataDxfId="33"/>
    <tableColumn id="10" xr3:uid="{26D1CE25-B3AA-4606-9794-A367726DC4BE}" name="Location " totalsRowFunction="count" dataDxfId="32"/>
    <tableColumn id="15" xr3:uid="{30ABFA16-EB9E-48F7-822D-2B62DF1F5949}" name="Mode" dataDxfId="31"/>
    <tableColumn id="14" xr3:uid="{C3D5B67F-64B1-41D5-A058-35D4E051F77E}" name="Grouping" dataDxfId="30"/>
    <tableColumn id="11" xr3:uid="{D6EACC74-4F14-4405-B4ED-6CEBA5BB8300}" name="Shortages" dataDxfId="2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5E0485C-B715-4D49-A31D-D43D6B78C3BC}" name="Table245234" displayName="Table245234" ref="A1:N92" headerRowDxfId="28">
  <autoFilter ref="A1:N92" xr:uid="{DC732050-79C2-4521-A202-3BC12CA00B8E}"/>
  <tableColumns count="14">
    <tableColumn id="1" xr3:uid="{696C5390-4B13-4C92-9A19-6B9EA6BDB46E}" name="Job Role" totalsRowLabel="Total" dataDxfId="27"/>
    <tableColumn id="2" xr3:uid="{DB1A799D-DDD1-4CA4-9EEC-B47EE45C801A}" name="Job Description" dataDxfId="26"/>
    <tableColumn id="12" xr3:uid="{C226EC7D-D575-4467-AEFE-0655F07F3CBB}" name="Salary Range" dataDxfId="25"/>
    <tableColumn id="3" xr3:uid="{45ADA136-B62D-4507-A06A-1D4AA1045908}" name="Development" dataDxfId="24" totalsRowDxfId="23"/>
    <tableColumn id="4" xr3:uid="{4D21F594-7E81-4053-AE88-772EDD167241}" name="Wind Turbine &amp; BoP" dataDxfId="22" totalsRowDxfId="21"/>
    <tableColumn id="5" xr3:uid="{E56CA795-3D90-4B19-A899-26F897322400}" name="Installation &amp; Commissioning" dataDxfId="20" totalsRowDxfId="19"/>
    <tableColumn id="6" xr3:uid="{C92BFBAD-195F-438D-AC64-BCED227E37F7}" name="O&amp;M" dataDxfId="18" totalsRowDxfId="17"/>
    <tableColumn id="7" xr3:uid="{B0C20871-9378-484F-997A-DF94A9530FAD}" name="Decommissioning" dataDxfId="16" totalsRowDxfId="15"/>
    <tableColumn id="8" xr3:uid="{EECC4389-1F2D-4085-9D99-D34A2AC0E1B8}" name="Minimum skill level" dataDxfId="14" totalsRowDxfId="13"/>
    <tableColumn id="9" xr3:uid="{54DFCC80-1E47-43DF-BF3E-A586A6E2FC3C}" name="Exp. Yrs_x000a_(&gt;)" dataDxfId="12"/>
    <tableColumn id="10" xr3:uid="{D7D240C9-5110-4B55-B53B-2D9FC2B9AC56}" name="Location " totalsRowFunction="count" dataDxfId="11"/>
    <tableColumn id="11" xr3:uid="{DD814B74-89B8-4DF9-BB9A-8B34604CF274}" name="Grouping" dataDxfId="10"/>
    <tableColumn id="14" xr3:uid="{0370035C-D752-4C12-BAD4-4A18DCF750CF}" name="Alt Grouping" dataDxfId="9"/>
    <tableColumn id="13" xr3:uid="{2A1E307B-93F6-41A3-99F5-D9AC2D5FD0D1}" name="Active Project Stages" dataDxfId="8">
      <calculatedColumnFormula>SUM(D2:H2)</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3" dT="2024-10-22T15:34:58.56" personId="{ED91DED2-9272-4B24-8809-A147D9B556BE}" id="{CC9A53D3-9DC8-472F-8E8B-3A8BD253BF81}">
    <text>https://www.glassdoor.ie/Salaries/glasgow-scotland-offshore-wind-project-manager-salary-SRCH_IL.0,16_IC3298888_KO17,46.htm Adjusted for experience</text>
    <extLst>
      <x:ext xmlns:xltc2="http://schemas.microsoft.com/office/spreadsheetml/2020/threadedcomments2" uri="{F7C98A9C-CBB3-438F-8F68-D28B6AF4A901}">
        <xltc2:checksum>3909239884</xltc2:checksum>
        <xltc2:hyperlink startIndex="0" length="122" url="https://www.glassdoor.ie/Salaries/glasgow-scotland-offshore-wind-project-manager-salary-SRCH_IL.0,16_IC3298888_KO17,46.htm"/>
      </x:ext>
    </extLst>
  </threadedComment>
  <threadedComment ref="C4" dT="2024-10-22T15:34:58.56" personId="{ED91DED2-9272-4B24-8809-A147D9B556BE}" id="{F7F5950C-96F8-4503-A4C9-A8F6371FC835}">
    <text>https://www.glassdoor.ie/Salaries/glasgow-scotland-offshore-wind-project-manager-salary-SRCH_IL.0,16_IC3298888_KO17,46.htm</text>
    <extLst>
      <x:ext xmlns:xltc2="http://schemas.microsoft.com/office/spreadsheetml/2020/threadedcomments2" uri="{F7C98A9C-CBB3-438F-8F68-D28B6AF4A901}">
        <xltc2:checksum>4039810043</xltc2:checksum>
        <xltc2:hyperlink startIndex="0" length="122" url="https://www.glassdoor.ie/Salaries/glasgow-scotland-offshore-wind-project-manager-salary-SRCH_IL.0,16_IC3298888_KO17,46.htm"/>
      </x:ext>
    </extLst>
  </threadedComment>
  <threadedComment ref="C5" dT="2024-10-22T15:36:13.95" personId="{ED91DED2-9272-4B24-8809-A147D9B556BE}" id="{F4EDF33E-1518-4AD1-9F2C-C70AF6A59562}">
    <text>https://www.glassdoor.co.uk/Salaries/glasgow-scotland-grid-connection-engineer-salary-SRCH_IL.0,16_IC3298888_KO17,41.htm</text>
    <extLst>
      <x:ext xmlns:xltc2="http://schemas.microsoft.com/office/spreadsheetml/2020/threadedcomments2" uri="{F7C98A9C-CBB3-438F-8F68-D28B6AF4A901}">
        <xltc2:checksum>4052190340</xltc2:checksum>
        <xltc2:hyperlink startIndex="0" length="120" url="https://www.glassdoor.co.uk/Salaries/glasgow-scotland-grid-connection-engineer-salary-SRCH_IL.0,16_IC3298888_KO17,41.htm"/>
      </x:ext>
    </extLst>
  </threadedComment>
  <threadedComment ref="C6" dT="2024-10-22T15:36:13.95" personId="{ED91DED2-9272-4B24-8809-A147D9B556BE}" id="{2DA19837-EB09-4C11-B621-92B0FF8D1425}">
    <text>https://www.glassdoor.co.uk/Salaries/glasgow-scotland-grid-connection-engineer-salary-SRCH_IL.0,16_IC3298888_KO17,41.htm</text>
    <extLst>
      <x:ext xmlns:xltc2="http://schemas.microsoft.com/office/spreadsheetml/2020/threadedcomments2" uri="{F7C98A9C-CBB3-438F-8F68-D28B6AF4A901}">
        <xltc2:checksum>4052190340</xltc2:checksum>
        <xltc2:hyperlink startIndex="0" length="120" url="https://www.glassdoor.co.uk/Salaries/glasgow-scotland-grid-connection-engineer-salary-SRCH_IL.0,16_IC3298888_KO17,41.htm"/>
      </x:ext>
    </extLst>
  </threadedComment>
  <threadedComment ref="C7" dT="2024-10-22T15:36:13.95" personId="{ED91DED2-9272-4B24-8809-A147D9B556BE}" id="{FFFEB0F8-B7CE-4197-ABE7-3976DB44DF84}">
    <text>https://www.glassdoor.co.uk/Salaries/glasgow-scotland-grid-connection-engineer-salary-SRCH_IL.0,16_IC3298888_KO17,41.htm</text>
    <extLst>
      <x:ext xmlns:xltc2="http://schemas.microsoft.com/office/spreadsheetml/2020/threadedcomments2" uri="{F7C98A9C-CBB3-438F-8F68-D28B6AF4A901}">
        <xltc2:checksum>4052190340</xltc2:checksum>
        <xltc2:hyperlink startIndex="0" length="120" url="https://www.glassdoor.co.uk/Salaries/glasgow-scotland-grid-connection-engineer-salary-SRCH_IL.0,16_IC3298888_KO17,41.htm"/>
      </x:ext>
    </extLst>
  </threadedComment>
  <threadedComment ref="C8" dT="2024-11-07T15:44:49.72" personId="{ED91DED2-9272-4B24-8809-A147D9B556BE}" id="{C34F7820-D067-4252-9FD2-55D00F146517}">
    <text>https://uk.indeed.com/career/design-engineer/salaries/Scotland?from=top_sb</text>
    <extLst>
      <x:ext xmlns:xltc2="http://schemas.microsoft.com/office/spreadsheetml/2020/threadedcomments2" uri="{F7C98A9C-CBB3-438F-8F68-D28B6AF4A901}">
        <xltc2:checksum>1414242431</xltc2:checksum>
        <xltc2:hyperlink startIndex="0" length="74" url="https://uk.indeed.com/career/design-engineer/salaries/Scotland?from=top_sb"/>
      </x:ext>
    </extLst>
  </threadedComment>
  <threadedComment ref="C9" dT="2024-10-23T15:45:00.91" personId="{ED91DED2-9272-4B24-8809-A147D9B556BE}" id="{28B48E1D-FF33-4635-89E1-0E1D36462CB9}">
    <text>Maybe comparable to a Marine Planner…
https://networkrecruitment.tal.net/vx/mobile-0/appcentre-5/brand-10/candidate/so/pm/1/pl/6/opp/1725-Marine-Planner/en-GB</text>
    <extLst>
      <x:ext xmlns:xltc2="http://schemas.microsoft.com/office/spreadsheetml/2020/threadedcomments2" uri="{F7C98A9C-CBB3-438F-8F68-D28B6AF4A901}">
        <xltc2:checksum>3736824008</xltc2:checksum>
        <xltc2:hyperlink startIndex="39" length="120" url="https://networkrecruitment.tal.net/vx/mobile-0/appcentre-5/brand-10/candidate/so/pm/1/pl/6/opp/1725-Marine-Planner/en-GB"/>
      </x:ext>
    </extLst>
  </threadedComment>
  <threadedComment ref="C9" dT="2024-11-11T16:23:07.23" personId="{6BAF36A7-5346-4A74-A30E-FCC7E980D597}" id="{D0FDB430-7B88-49B2-94FF-A0EEA51A165B}" parentId="{28B48E1D-FF33-4635-89E1-0E1D36462CB9}">
    <text>Looks low for a degree qualification and 5 years experience. Job advert is from 2018</text>
  </threadedComment>
  <threadedComment ref="C10" dT="2024-10-22T15:42:38.22" personId="{ED91DED2-9272-4B24-8809-A147D9B556BE}" id="{0F977218-B1FB-405A-841C-7805DC675A03}">
    <text>https://www.checkasalary.co.uk/salary/procurement-manager-scotland?job_title=Procurement+Manager&amp;location=Scotland&amp;radius=5&amp;page=1&amp;min_salary=0&amp;max_salary=1000000&amp;job_hours=19&amp;work_from_home=0&amp;location_id=3&amp;job_title_id=175</text>
    <extLst>
      <x:ext xmlns:xltc2="http://schemas.microsoft.com/office/spreadsheetml/2020/threadedcomments2" uri="{F7C98A9C-CBB3-438F-8F68-D28B6AF4A901}">
        <xltc2:checksum>2966782560</xltc2:checksum>
        <xltc2:hyperlink startIndex="0" length="223" url="https://www.checkasalary.co.uk/salary/procurement-manager-scotland?job_title=Procurement+Manager&amp;location=Scotland&amp;radius=5&amp;page=1&amp;min_salary=0&amp;max_salary=1000000&amp;job_hours=19&amp;work_from_home=0&amp;location_id=3&amp;job_title_id=175"/>
      </x:ext>
    </extLst>
  </threadedComment>
  <threadedComment ref="C11" dT="2024-10-22T15:43:05.89" personId="{ED91DED2-9272-4B24-8809-A147D9B556BE}" id="{E27E62D6-E7CD-4E47-93CA-ECE91AD5FDF6}">
    <text>https://uk.talent.com/salary?job=technical+sales+manager</text>
    <extLst>
      <x:ext xmlns:xltc2="http://schemas.microsoft.com/office/spreadsheetml/2020/threadedcomments2" uri="{F7C98A9C-CBB3-438F-8F68-D28B6AF4A901}">
        <xltc2:checksum>2959539556</xltc2:checksum>
        <xltc2:hyperlink startIndex="0" length="56" url="https://uk.talent.com/salary?job=technical+sales+manager"/>
      </x:ext>
    </extLst>
  </threadedComment>
  <threadedComment ref="C12" dT="2024-10-22T15:43:05.89" personId="{ED91DED2-9272-4B24-8809-A147D9B556BE}" id="{F6BC9EDF-C057-4940-BDC8-BCFE0D3EFA03}">
    <text>https://uk.talent.com/salary?job=technical+sales+manager</text>
    <extLst>
      <x:ext xmlns:xltc2="http://schemas.microsoft.com/office/spreadsheetml/2020/threadedcomments2" uri="{F7C98A9C-CBB3-438F-8F68-D28B6AF4A901}">
        <xltc2:checksum>2959539556</xltc2:checksum>
        <xltc2:hyperlink startIndex="0" length="56" url="https://uk.talent.com/salary?job=technical+sales+manager"/>
      </x:ext>
    </extLst>
  </threadedComment>
  <threadedComment ref="C13" dT="2024-10-22T15:34:58.56" personId="{ED91DED2-9272-4B24-8809-A147D9B556BE}" id="{5F7B7C1F-5FD5-498E-8422-C757521F39AB}">
    <text>https://www.glassdoor.ie/Salaries/glasgow-scotland-offshore-wind-project-manager-salary-SRCH_IL.0,16_IC3298888_KO17,46.htm</text>
    <extLst>
      <x:ext xmlns:xltc2="http://schemas.microsoft.com/office/spreadsheetml/2020/threadedcomments2" uri="{F7C98A9C-CBB3-438F-8F68-D28B6AF4A901}">
        <xltc2:checksum>4039810043</xltc2:checksum>
        <xltc2:hyperlink startIndex="0" length="122" url="https://www.glassdoor.ie/Salaries/glasgow-scotland-offshore-wind-project-manager-salary-SRCH_IL.0,16_IC3298888_KO17,46.htm"/>
      </x:ext>
    </extLst>
  </threadedComment>
  <threadedComment ref="C14" dT="2024-10-22T15:34:58.56" personId="{ED91DED2-9272-4B24-8809-A147D9B556BE}" id="{7D02B46C-80BE-4BDA-A5F4-54F019FEEC24}">
    <text>https://www.glassdoor.ie/Salaries/glasgow-scotland-offshore-wind-project-manager-salary-SRCH_IL.0,16_IC3298888_KO17,46.htm Adjusted for experience and skill level</text>
    <extLst>
      <x:ext xmlns:xltc2="http://schemas.microsoft.com/office/spreadsheetml/2020/threadedcomments2" uri="{F7C98A9C-CBB3-438F-8F68-D28B6AF4A901}">
        <xltc2:checksum>1234874561</xltc2:checksum>
        <xltc2:hyperlink startIndex="0" length="122" url="https://www.glassdoor.ie/Salaries/glasgow-scotland-offshore-wind-project-manager-salary-SRCH_IL.0,16_IC3298888_KO17,46.htm"/>
      </x:ext>
    </extLst>
  </threadedComment>
  <threadedComment ref="C15" dT="2024-10-23T15:54:15.19" personId="{ED91DED2-9272-4B24-8809-A147D9B556BE}" id="{A979BDD9-DD60-4739-82F5-563BAFBF46C1}">
    <text>https://www.glassdoor.co.uk/Salaries/scotland-financial-analyst-salary-SRCH_IL.0,8_IS7289_KO9,26.htm
Also Orsted ad for Financial Analyst for Settlement of Renewable Wind Power £39k-51k</text>
    <extLst>
      <x:ext xmlns:xltc2="http://schemas.microsoft.com/office/spreadsheetml/2020/threadedcomments2" uri="{F7C98A9C-CBB3-438F-8F68-D28B6AF4A901}">
        <xltc2:checksum>4238295326</xltc2:checksum>
        <xltc2:hyperlink startIndex="0" length="100" url="https://www.glassdoor.co.uk/Salaries/scotland-financial-analyst-salary-SRCH_IL.0,8_IS7289_KO9,26.htm"/>
      </x:ext>
    </extLst>
  </threadedComment>
  <threadedComment ref="C16" dT="2024-10-24T07:44:30.36" personId="{ED91DED2-9272-4B24-8809-A147D9B556BE}" id="{6EBEA9FF-1562-4981-9DAF-073EA74D1CDB}">
    <text>Renewable Energy (Real Estate) Solicitor
https://www.s1jobs.com/job/renewable-energy-real-estate-solicitor-124061192?utm_campaign=google_jobs_apply&amp;utm_source=google_jobs_apply&amp;utm_medium=organic</text>
    <extLst>
      <x:ext xmlns:xltc2="http://schemas.microsoft.com/office/spreadsheetml/2020/threadedcomments2" uri="{F7C98A9C-CBB3-438F-8F68-D28B6AF4A901}">
        <xltc2:checksum>466366028</xltc2:checksum>
        <xltc2:hyperlink startIndex="41" length="154" url="https://www.s1jobs.com/job/renewable-energy-real-estate-solicitor-124061192?utm_campaign=google_jobs_apply&amp;utm_source=google_jobs_apply&amp;utm_medium=organic"/>
      </x:ext>
    </extLst>
  </threadedComment>
  <threadedComment ref="C17" dT="2024-10-24T07:41:55.52" personId="{ED91DED2-9272-4B24-8809-A147D9B556BE}" id="{9D1191ED-9FEC-4407-9496-250CB8401F9B}">
    <text>https://www.glassdoor.co.uk/Salaries/scotland-communications-and-engagement-manager-salary-SRCH_IL.0,8_IS7289_KO9,46.htm</text>
    <extLst>
      <x:ext xmlns:xltc2="http://schemas.microsoft.com/office/spreadsheetml/2020/threadedcomments2" uri="{F7C98A9C-CBB3-438F-8F68-D28B6AF4A901}">
        <xltc2:checksum>1648073227</xltc2:checksum>
        <xltc2:hyperlink startIndex="0" length="120" url="https://www.glassdoor.co.uk/Salaries/scotland-communications-and-engagement-manager-salary-SRCH_IL.0,8_IS7289_KO9,46.htm"/>
      </x:ext>
    </extLst>
  </threadedComment>
  <threadedComment ref="C18" dT="2024-11-07T14:59:12.83" personId="{ED91DED2-9272-4B24-8809-A147D9B556BE}" id="{7DE391B3-8B51-4E5F-B6C3-C6AE024BEC26}">
    <text>https://www.glassdoor.co.uk/Salaries/scotland-administrator-salary-SRCH_IL.0,8_IS7289_KO9,22.htm</text>
    <extLst>
      <x:ext xmlns:xltc2="http://schemas.microsoft.com/office/spreadsheetml/2020/threadedcomments2" uri="{F7C98A9C-CBB3-438F-8F68-D28B6AF4A901}">
        <xltc2:checksum>2017230546</xltc2:checksum>
        <xltc2:hyperlink startIndex="0" length="96" url="https://www.glassdoor.co.uk/Salaries/scotland-administrator-salary-SRCH_IL.0,8_IS7289_KO9,22.htm"/>
      </x:ext>
    </extLst>
  </threadedComment>
  <threadedComment ref="C19" dT="2024-10-22T15:34:58.56" personId="{ED91DED2-9272-4B24-8809-A147D9B556BE}" id="{6BC7C1A5-7F0B-4771-94A7-36DC1319C0ED}">
    <text>https://www.glassdoor.ie/Salaries/glasgow-scotland-offshore-wind-project-manager-salary-SRCH_IL.0,16_IC3298888_KO17,46.htm</text>
    <extLst>
      <x:ext xmlns:xltc2="http://schemas.microsoft.com/office/spreadsheetml/2020/threadedcomments2" uri="{F7C98A9C-CBB3-438F-8F68-D28B6AF4A901}">
        <xltc2:checksum>4039810043</xltc2:checksum>
        <xltc2:hyperlink startIndex="0" length="122" url="https://www.glassdoor.ie/Salaries/glasgow-scotland-offshore-wind-project-manager-salary-SRCH_IL.0,16_IC3298888_KO17,46.htm"/>
      </x:ext>
    </extLst>
  </threadedComment>
  <threadedComment ref="C20" dT="2024-10-22T15:34:58.56" personId="{ED91DED2-9272-4B24-8809-A147D9B556BE}" id="{6D72735C-6744-47E7-A80C-A610A47AE869}">
    <text>https://www.glassdoor.ie/Salaries/glasgow-scotland-offshore-wind-project-manager-salary-SRCH_IL.0,16_IC3298888_KO17,46.htm Adjusted for experience and skill level</text>
    <extLst>
      <x:ext xmlns:xltc2="http://schemas.microsoft.com/office/spreadsheetml/2020/threadedcomments2" uri="{F7C98A9C-CBB3-438F-8F68-D28B6AF4A901}">
        <xltc2:checksum>1234874561</xltc2:checksum>
        <xltc2:hyperlink startIndex="0" length="122" url="https://www.glassdoor.ie/Salaries/glasgow-scotland-offshore-wind-project-manager-salary-SRCH_IL.0,16_IC3298888_KO17,46.htm"/>
      </x:ext>
    </extLst>
  </threadedComment>
  <threadedComment ref="C21" dT="2024-10-24T08:19:44.20" personId="{ED91DED2-9272-4B24-8809-A147D9B556BE}" id="{EF000AB8-EDCC-47EE-8D4A-8E48B24E9F6F}">
    <text>https://www.glassdoor.co.uk/Salaries/health-and-safety-officer-salary-SRCH_KO0,25.htm Adjusted for location and experience</text>
    <extLst>
      <x:ext xmlns:xltc2="http://schemas.microsoft.com/office/spreadsheetml/2020/threadedcomments2" uri="{F7C98A9C-CBB3-438F-8F68-D28B6AF4A901}">
        <xltc2:checksum>1109814137</xltc2:checksum>
        <xltc2:hyperlink startIndex="0" length="85" url="https://www.glassdoor.co.uk/Salaries/health-and-safety-officer-salary-SRCH_KO0,25.htm"/>
      </x:ext>
    </extLst>
  </threadedComment>
  <threadedComment ref="C23" dT="2024-10-22T15:36:13.95" personId="{ED91DED2-9272-4B24-8809-A147D9B556BE}" id="{EC800129-F02F-442A-A942-1A6A223B9D38}">
    <text>https://www.glassdoor.co.uk/Salaries/glasgow-scotland-grid-connection-engineer-salary-SRCH_IL.0,16_IC3298888_KO17,41.htm</text>
    <extLst>
      <x:ext xmlns:xltc2="http://schemas.microsoft.com/office/spreadsheetml/2020/threadedcomments2" uri="{F7C98A9C-CBB3-438F-8F68-D28B6AF4A901}">
        <xltc2:checksum>4052190340</xltc2:checksum>
        <xltc2:hyperlink startIndex="0" length="120" url="https://www.glassdoor.co.uk/Salaries/glasgow-scotland-grid-connection-engineer-salary-SRCH_IL.0,16_IC3298888_KO17,41.htm"/>
      </x:ext>
    </extLst>
  </threadedComment>
  <threadedComment ref="C24" dT="2024-10-22T15:36:13.95" personId="{ED91DED2-9272-4B24-8809-A147D9B556BE}" id="{70B905D2-CF80-4F9A-B991-477CFC0D9B66}">
    <text>https://www.glassdoor.co.uk/Salaries/glasgow-scotland-grid-connection-engineer-salary-SRCH_IL.0,16_IC3298888_KO17,41.htm Adjusted for location and skill</text>
    <extLst>
      <x:ext xmlns:xltc2="http://schemas.microsoft.com/office/spreadsheetml/2020/threadedcomments2" uri="{F7C98A9C-CBB3-438F-8F68-D28B6AF4A901}">
        <xltc2:checksum>717040158</xltc2:checksum>
        <xltc2:hyperlink startIndex="0" length="120" url="https://www.glassdoor.co.uk/Salaries/glasgow-scotland-grid-connection-engineer-salary-SRCH_IL.0,16_IC3298888_KO17,41.htm"/>
      </x:ext>
    </extLst>
  </threadedComment>
  <threadedComment ref="C25" dT="2024-10-22T15:36:13.95" personId="{ED91DED2-9272-4B24-8809-A147D9B556BE}" id="{9924B48C-4189-477B-9062-7A6C136F583D}">
    <text>https://www.glassdoor.co.uk/Salaries/glasgow-scotland-grid-connection-engineer-salary-SRCH_IL.0,16_IC3298888_KO17,41.htm Adjusted for location and skill</text>
    <extLst>
      <x:ext xmlns:xltc2="http://schemas.microsoft.com/office/spreadsheetml/2020/threadedcomments2" uri="{F7C98A9C-CBB3-438F-8F68-D28B6AF4A901}">
        <xltc2:checksum>717040158</xltc2:checksum>
        <xltc2:hyperlink startIndex="0" length="120" url="https://www.glassdoor.co.uk/Salaries/glasgow-scotland-grid-connection-engineer-salary-SRCH_IL.0,16_IC3298888_KO17,41.htm"/>
      </x:ext>
    </extLst>
  </threadedComment>
  <threadedComment ref="C26" dT="2024-10-22T15:36:13.95" personId="{ED91DED2-9272-4B24-8809-A147D9B556BE}" id="{2F3F40C0-FDE8-43A7-9DD8-4C12999679FD}">
    <text>https://www.glassdoor.co.uk/Salaries/glasgow-scotland-grid-connection-engineer-salary-SRCH_IL.0,16_IC3298888_KO17,41.htm Adjusted for location and skill</text>
    <extLst>
      <x:ext xmlns:xltc2="http://schemas.microsoft.com/office/spreadsheetml/2020/threadedcomments2" uri="{F7C98A9C-CBB3-438F-8F68-D28B6AF4A901}">
        <xltc2:checksum>717040158</xltc2:checksum>
        <xltc2:hyperlink startIndex="0" length="120" url="https://www.glassdoor.co.uk/Salaries/glasgow-scotland-grid-connection-engineer-salary-SRCH_IL.0,16_IC3298888_KO17,41.htm"/>
      </x:ext>
    </extLst>
  </threadedComment>
  <threadedComment ref="C27" dT="2024-10-22T15:36:13.95" personId="{ED91DED2-9272-4B24-8809-A147D9B556BE}" id="{7B906AD9-B82A-4758-80A6-D077F291637A}">
    <text>https://www.glassdoor.co.uk/Salaries/glasgow-scotland-grid-connection-engineer-salary-SRCH_IL.0,16_IC3298888_KO17,41.htm</text>
    <extLst>
      <x:ext xmlns:xltc2="http://schemas.microsoft.com/office/spreadsheetml/2020/threadedcomments2" uri="{F7C98A9C-CBB3-438F-8F68-D28B6AF4A901}">
        <xltc2:checksum>4052190340</xltc2:checksum>
        <xltc2:hyperlink startIndex="0" length="120" url="https://www.glassdoor.co.uk/Salaries/glasgow-scotland-grid-connection-engineer-salary-SRCH_IL.0,16_IC3298888_KO17,41.htm"/>
      </x:ext>
    </extLst>
  </threadedComment>
  <threadedComment ref="C29" dT="2024-11-07T16:45:34.59" personId="{ED91DED2-9272-4B24-8809-A147D9B556BE}" id="{225FAC3C-B99B-4CA0-AAF4-979D2BDB43A1}">
    <text>https://www.glassdoor.co.uk/Salaries/scotland-quality-control-salary-SRCH_IL.0,8_IS7289_KO9,24.htm</text>
    <extLst>
      <x:ext xmlns:xltc2="http://schemas.microsoft.com/office/spreadsheetml/2020/threadedcomments2" uri="{F7C98A9C-CBB3-438F-8F68-D28B6AF4A901}">
        <xltc2:checksum>1733978150</xltc2:checksum>
        <xltc2:hyperlink startIndex="0" length="98" url="https://www.glassdoor.co.uk/Salaries/scotland-quality-control-salary-SRCH_IL.0,8_IS7289_KO9,24.htm"/>
      </x:ext>
    </extLst>
  </threadedComment>
  <threadedComment ref="C30" dT="2024-11-07T16:30:30.51" personId="{ED91DED2-9272-4B24-8809-A147D9B556BE}" id="{0F3A4055-789C-471F-A6B0-638FADE28EF6}">
    <text>https://www.glassdoor.co.uk/Salaries/scotland-coating-technician-salary-SRCH_IL.0,8_IS7289_KO9,27.htm</text>
    <extLst>
      <x:ext xmlns:xltc2="http://schemas.microsoft.com/office/spreadsheetml/2020/threadedcomments2" uri="{F7C98A9C-CBB3-438F-8F68-D28B6AF4A901}">
        <xltc2:checksum>50814744</xltc2:checksum>
        <xltc2:hyperlink startIndex="0" length="101" url="https://www.glassdoor.co.uk/Salaries/scotland-coating-technician-salary-SRCH_IL.0,8_IS7289_KO9,27.htm"/>
      </x:ext>
    </extLst>
  </threadedComment>
  <threadedComment ref="C31" dT="2024-11-07T16:30:30.51" personId="{ED91DED2-9272-4B24-8809-A147D9B556BE}" id="{E73559A0-00A6-4FAA-B84A-D930DD3A2E51}">
    <text>https://www.glassdoor.co.uk/Salaries/scotland-coating-technician-salary-SRCH_IL.0,8_IS7289_KO9,27.htm</text>
    <extLst>
      <x:ext xmlns:xltc2="http://schemas.microsoft.com/office/spreadsheetml/2020/threadedcomments2" uri="{F7C98A9C-CBB3-438F-8F68-D28B6AF4A901}">
        <xltc2:checksum>50814744</xltc2:checksum>
        <xltc2:hyperlink startIndex="0" length="101" url="https://www.glassdoor.co.uk/Salaries/scotland-coating-technician-salary-SRCH_IL.0,8_IS7289_KO9,27.htm"/>
      </x:ext>
    </extLst>
  </threadedComment>
  <threadedComment ref="C32" dT="2024-11-08T14:50:33.27" personId="{ED91DED2-9272-4B24-8809-A147D9B556BE}" id="{DDE24B75-551B-4C3A-81F6-17A12CC203E3}">
    <text xml:space="preserve">https://www.glassdoor.co.uk/Salaries/scotland-fibre-optic-engineer-salary-SRCH_IL.0,8_IS7289_KO9,29.htm Adjusted for location
</text>
    <extLst>
      <x:ext xmlns:xltc2="http://schemas.microsoft.com/office/spreadsheetml/2020/threadedcomments2" uri="{F7C98A9C-CBB3-438F-8F68-D28B6AF4A901}">
        <xltc2:checksum>875993123</xltc2:checksum>
        <xltc2:hyperlink startIndex="0" length="103" url="https://www.glassdoor.co.uk/Salaries/scotland-fibre-optic-engineer-salary-SRCH_IL.0,8_IS7289_KO9,29.htm"/>
      </x:ext>
    </extLst>
  </threadedComment>
  <threadedComment ref="C33" dT="2024-10-22T15:34:58.56" personId="{ED91DED2-9272-4B24-8809-A147D9B556BE}" id="{24777FD8-97B4-4938-B3BF-03A38841A091}">
    <text>https://www.glassdoor.ie/Salaries/glasgow-scotland-offshore-wind-project-manager-salary-SRCH_IL.0,16_IC3298888_KO17,46.htm Adjusted for skill level</text>
    <extLst>
      <x:ext xmlns:xltc2="http://schemas.microsoft.com/office/spreadsheetml/2020/threadedcomments2" uri="{F7C98A9C-CBB3-438F-8F68-D28B6AF4A901}">
        <xltc2:checksum>1767605623</xltc2:checksum>
        <xltc2:hyperlink startIndex="0" length="122" url="https://www.glassdoor.ie/Salaries/glasgow-scotland-offshore-wind-project-manager-salary-SRCH_IL.0,16_IC3298888_KO17,46.htm"/>
      </x:ext>
    </extLst>
  </threadedComment>
  <threadedComment ref="C34" dT="2024-10-22T15:34:58.56" personId="{ED91DED2-9272-4B24-8809-A147D9B556BE}" id="{FEB1E56A-6BC7-463A-BBEF-552FF40D9D55}">
    <text>https://www.glassdoor.ie/Salaries/glasgow-scotland-offshore-wind-project-manager-salary-SRCH_IL.0,16_IC3298888_KO17,46.htm</text>
    <extLst>
      <x:ext xmlns:xltc2="http://schemas.microsoft.com/office/spreadsheetml/2020/threadedcomments2" uri="{F7C98A9C-CBB3-438F-8F68-D28B6AF4A901}">
        <xltc2:checksum>4039810043</xltc2:checksum>
        <xltc2:hyperlink startIndex="0" length="122" url="https://www.glassdoor.ie/Salaries/glasgow-scotland-offshore-wind-project-manager-salary-SRCH_IL.0,16_IC3298888_KO17,46.htm"/>
      </x:ext>
    </extLst>
  </threadedComment>
  <threadedComment ref="C35" dT="2024-11-07T16:30:30.51" personId="{ED91DED2-9272-4B24-8809-A147D9B556BE}" id="{93D7168D-4D87-472E-B7D3-9AFDBDD5D753}">
    <text>https://www.glassdoor.co.uk/Salaries/scotland-coating-technician-salary-SRCH_IL.0,8_IS7289_KO9,27.htm</text>
    <extLst>
      <x:ext xmlns:xltc2="http://schemas.microsoft.com/office/spreadsheetml/2020/threadedcomments2" uri="{F7C98A9C-CBB3-438F-8F68-D28B6AF4A901}">
        <xltc2:checksum>50814744</xltc2:checksum>
        <xltc2:hyperlink startIndex="0" length="101" url="https://www.glassdoor.co.uk/Salaries/scotland-coating-technician-salary-SRCH_IL.0,8_IS7289_KO9,27.htm"/>
      </x:ext>
    </extLst>
  </threadedComment>
  <threadedComment ref="C36" dT="2024-10-22T15:34:58.56" personId="{ED91DED2-9272-4B24-8809-A147D9B556BE}" id="{B39FD081-2909-4561-A02F-F53B73F2D5E9}">
    <text>https://www.glassdoor.ie/Salaries/glasgow-scotland-offshore-wind-project-manager-salary-SRCH_IL.0,16_IC3298888_KO17,46.htm</text>
    <extLst>
      <x:ext xmlns:xltc2="http://schemas.microsoft.com/office/spreadsheetml/2020/threadedcomments2" uri="{F7C98A9C-CBB3-438F-8F68-D28B6AF4A901}">
        <xltc2:checksum>4039810043</xltc2:checksum>
        <xltc2:hyperlink startIndex="0" length="122" url="https://www.glassdoor.ie/Salaries/glasgow-scotland-offshore-wind-project-manager-salary-SRCH_IL.0,16_IC3298888_KO17,46.htm"/>
      </x:ext>
    </extLst>
  </threadedComment>
  <threadedComment ref="C37" dT="2024-11-07T14:59:12.83" personId="{ED91DED2-9272-4B24-8809-A147D9B556BE}" id="{B79CC823-C552-4C93-BB8A-7A66106A7726}">
    <text>https://www.glassdoor.co.uk/Salaries/scotland-administrator-salary-SRCH_IL.0,8_IS7289_KO9,22.htm</text>
    <extLst>
      <x:ext xmlns:xltc2="http://schemas.microsoft.com/office/spreadsheetml/2020/threadedcomments2" uri="{F7C98A9C-CBB3-438F-8F68-D28B6AF4A901}">
        <xltc2:checksum>2017230546</xltc2:checksum>
        <xltc2:hyperlink startIndex="0" length="96" url="https://www.glassdoor.co.uk/Salaries/scotland-administrator-salary-SRCH_IL.0,8_IS7289_KO9,22.htm"/>
      </x:ext>
    </extLst>
  </threadedComment>
  <threadedComment ref="C38" dT="2024-10-22T15:34:58.56" personId="{ED91DED2-9272-4B24-8809-A147D9B556BE}" id="{E3714D1F-FF03-498A-8791-98DB07896EAC}">
    <text>https://www.glassdoor.ie/Salaries/glasgow-scotland-offshore-wind-project-manager-salary-SRCH_IL.0,16_IC3298888_KO17,46.htm</text>
    <extLst>
      <x:ext xmlns:xltc2="http://schemas.microsoft.com/office/spreadsheetml/2020/threadedcomments2" uri="{F7C98A9C-CBB3-438F-8F68-D28B6AF4A901}">
        <xltc2:checksum>4039810043</xltc2:checksum>
        <xltc2:hyperlink startIndex="0" length="122" url="https://www.glassdoor.ie/Salaries/glasgow-scotland-offshore-wind-project-manager-salary-SRCH_IL.0,16_IC3298888_KO17,46.htm"/>
      </x:ext>
    </extLst>
  </threadedComment>
  <threadedComment ref="C39" dT="2024-11-07T16:30:30.51" personId="{ED91DED2-9272-4B24-8809-A147D9B556BE}" id="{3125F067-30FF-45C6-B86D-DD71B3802176}">
    <text>https://www.glassdoor.co.uk/Salaries/scotland-coating-technician-salary-SRCH_IL.0,8_IS7289_KO9,27.htm</text>
    <extLst>
      <x:ext xmlns:xltc2="http://schemas.microsoft.com/office/spreadsheetml/2020/threadedcomments2" uri="{F7C98A9C-CBB3-438F-8F68-D28B6AF4A901}">
        <xltc2:checksum>50814744</xltc2:checksum>
        <xltc2:hyperlink startIndex="0" length="101" url="https://www.glassdoor.co.uk/Salaries/scotland-coating-technician-salary-SRCH_IL.0,8_IS7289_KO9,27.htm"/>
      </x:ext>
    </extLst>
  </threadedComment>
  <threadedComment ref="C41" dT="2024-10-24T08:13:05.93" personId="{ED91DED2-9272-4B24-8809-A147D9B556BE}" id="{95E06C98-FBEB-48D1-8022-B3E0B74954C9}">
    <text>Civil Engineer comparable?
https://www.glassdoor.co.uk/Salaries/scotland-civil-engineer-salary-SRCH_IL.0,8_IS7289_KO9,23.htm</text>
    <extLst>
      <x:ext xmlns:xltc2="http://schemas.microsoft.com/office/spreadsheetml/2020/threadedcomments2" uri="{F7C98A9C-CBB3-438F-8F68-D28B6AF4A901}">
        <xltc2:checksum>611221736</xltc2:checksum>
        <xltc2:hyperlink startIndex="27" length="97" url="https://www.glassdoor.co.uk/Salaries/scotland-civil-engineer-salary-SRCH_IL.0,8_IS7289_KO9,23.htm"/>
      </x:ext>
    </extLst>
  </threadedComment>
  <threadedComment ref="C41" dT="2024-11-11T16:17:40.81" personId="{6BAF36A7-5346-4A74-A30E-FCC7E980D597}" id="{ED29B9B0-98EA-4B57-B97F-76C58BFE5ED9}" parentId="{95E06C98-FBEB-48D1-8022-B3E0B74954C9}">
    <text>This will also include general labourer so expect that salary start range needs to be lower -maybe starting at £15k, same as machine operatives basic salary?</text>
  </threadedComment>
  <threadedComment ref="C42" dT="2024-10-24T08:14:49.18" personId="{ED91DED2-9272-4B24-8809-A147D9B556BE}" id="{6273D49F-FC2F-4C9D-8696-27C488B74774}">
    <text>Range based on avg. salary for Transport Operator (£32k)
https://www.reed.co.uk/average-salary/average-transport-operator-salary</text>
    <extLst>
      <x:ext xmlns:xltc2="http://schemas.microsoft.com/office/spreadsheetml/2020/threadedcomments2" uri="{F7C98A9C-CBB3-438F-8F68-D28B6AF4A901}">
        <xltc2:checksum>3249789515</xltc2:checksum>
        <xltc2:hyperlink startIndex="57" length="71" url="https://www.reed.co.uk/average-salary/average-transport-operator-salary"/>
      </x:ext>
    </extLst>
  </threadedComment>
  <threadedComment ref="A43" dT="2024-10-23T08:01:17.45" personId="{ED91DED2-9272-4B24-8809-A147D9B556BE}" id="{E4CE650E-4654-45A9-8DBC-6390F07B8099}">
    <text>Jointing Supervisor in Green Port Hull</text>
  </threadedComment>
  <threadedComment ref="C43" dT="2024-11-08T14:39:07.78" personId="{ED91DED2-9272-4B24-8809-A147D9B556BE}" id="{9A15E8CF-7FA8-4D1C-BF27-8001F3AB2FA0}">
    <text>https://uk.indeed.com/career/crane-operator/salaries/Scotland</text>
    <extLst>
      <x:ext xmlns:xltc2="http://schemas.microsoft.com/office/spreadsheetml/2020/threadedcomments2" uri="{F7C98A9C-CBB3-438F-8F68-D28B6AF4A901}">
        <xltc2:checksum>2671102821</xltc2:checksum>
        <xltc2:hyperlink startIndex="0" length="61" url="https://uk.indeed.com/career/crane-operator/salaries/Scotland"/>
      </x:ext>
    </extLst>
  </threadedComment>
  <threadedComment ref="C44" dT="2024-11-08T14:39:07.78" personId="{ED91DED2-9272-4B24-8809-A147D9B556BE}" id="{37210D2E-1984-4DCF-BF10-051F22D26E41}">
    <text>https://uk.indeed.com/career/crane-operator/salaries/Scotland Adjusted for experience</text>
    <extLst>
      <x:ext xmlns:xltc2="http://schemas.microsoft.com/office/spreadsheetml/2020/threadedcomments2" uri="{F7C98A9C-CBB3-438F-8F68-D28B6AF4A901}">
        <xltc2:checksum>4161469660</xltc2:checksum>
        <xltc2:hyperlink startIndex="0" length="61" url="https://uk.indeed.com/career/crane-operator/salaries/Scotland"/>
      </x:ext>
    </extLst>
  </threadedComment>
  <threadedComment ref="C45" dT="2024-11-08T14:39:07.78" personId="{ED91DED2-9272-4B24-8809-A147D9B556BE}" id="{36F1476F-801F-49FC-83C6-BA6206E5248C}">
    <text>https://uk.indeed.com/career/crane-operator/salaries/Scotland</text>
    <extLst>
      <x:ext xmlns:xltc2="http://schemas.microsoft.com/office/spreadsheetml/2020/threadedcomments2" uri="{F7C98A9C-CBB3-438F-8F68-D28B6AF4A901}">
        <xltc2:checksum>2671102821</xltc2:checksum>
        <xltc2:hyperlink startIndex="0" length="61" url="https://uk.indeed.com/career/crane-operator/salaries/Scotland"/>
      </x:ext>
    </extLst>
  </threadedComment>
  <threadedComment ref="C45" dT="2024-11-11T16:26:13.49" personId="{6BAF36A7-5346-4A74-A30E-FCC7E980D597}" id="{E2040E50-F1DF-4817-B3C5-5F7DF41601C1}" parentId="{36F1476F-801F-49FC-83C6-BA6206E5248C}">
    <text>Welder salary link: https://uk.indeed.com/career/welder/salaries
Maybe have higher top salary?</text>
    <extLst>
      <x:ext xmlns:xltc2="http://schemas.microsoft.com/office/spreadsheetml/2020/threadedcomments2" uri="{F7C98A9C-CBB3-438F-8F68-D28B6AF4A901}">
        <xltc2:checksum>1784000619</xltc2:checksum>
        <xltc2:hyperlink startIndex="20" length="44" url="https://uk.indeed.com/career/welder/salaries"/>
      </x:ext>
    </extLst>
  </threadedComment>
  <threadedComment ref="C46" dT="2024-11-08T14:39:07.78" personId="{ED91DED2-9272-4B24-8809-A147D9B556BE}" id="{3178F1BB-51B6-4AC5-B04C-E14D889C81DE}">
    <text>https://uk.indeed.com/career/crane-operator/salaries/Scotland</text>
    <extLst>
      <x:ext xmlns:xltc2="http://schemas.microsoft.com/office/spreadsheetml/2020/threadedcomments2" uri="{F7C98A9C-CBB3-438F-8F68-D28B6AF4A901}">
        <xltc2:checksum>2671102821</xltc2:checksum>
        <xltc2:hyperlink startIndex="0" length="61" url="https://uk.indeed.com/career/crane-operator/salaries/Scotland"/>
      </x:ext>
    </extLst>
  </threadedComment>
  <threadedComment ref="C47" dT="2024-11-08T14:50:33.27" personId="{ED91DED2-9272-4B24-8809-A147D9B556BE}" id="{BB55B53E-F4CA-480D-A938-E0D99047ADAF}">
    <text xml:space="preserve">https://www.glassdoor.co.uk/Salaries/scotland-fibre-optic-engineer-salary-SRCH_IL.0,8_IS7289_KO9,29.htm Adjusted for location
</text>
    <extLst>
      <x:ext xmlns:xltc2="http://schemas.microsoft.com/office/spreadsheetml/2020/threadedcomments2" uri="{F7C98A9C-CBB3-438F-8F68-D28B6AF4A901}">
        <xltc2:checksum>875993123</xltc2:checksum>
        <xltc2:hyperlink startIndex="0" length="103" url="https://www.glassdoor.co.uk/Salaries/scotland-fibre-optic-engineer-salary-SRCH_IL.0,8_IS7289_KO9,29.htm"/>
      </x:ext>
    </extLst>
  </threadedComment>
  <threadedComment ref="C48" dT="2024-10-24T13:01:57.15" personId="{ED91DED2-9272-4B24-8809-A147D9B556BE}" id="{6A1C270D-A634-486C-99CB-E7B024EDAFAC}">
    <text>https://www.glassdoor.co.uk/Salaries/uk-senior-authorised-person-salary-SRCH_IL.0,2_IN2_KO3,27.htm</text>
    <extLst>
      <x:ext xmlns:xltc2="http://schemas.microsoft.com/office/spreadsheetml/2020/threadedcomments2" uri="{F7C98A9C-CBB3-438F-8F68-D28B6AF4A901}">
        <xltc2:checksum>490887935</xltc2:checksum>
        <xltc2:hyperlink startIndex="0" length="98" url="https://www.glassdoor.co.uk/Salaries/uk-senior-authorised-person-salary-SRCH_IL.0,2_IN2_KO3,27.htm"/>
      </x:ext>
    </extLst>
  </threadedComment>
  <threadedComment ref="C49" dT="2024-11-07T16:30:30.51" personId="{ED91DED2-9272-4B24-8809-A147D9B556BE}" id="{DF2FC8BE-8438-464E-B90C-AAF6C05D51BA}">
    <text>https://www.glassdoor.co.uk/Salaries/scotland-coating-technician-salary-SRCH_IL.0,8_IS7289_KO9,27.htm</text>
    <extLst>
      <x:ext xmlns:xltc2="http://schemas.microsoft.com/office/spreadsheetml/2020/threadedcomments2" uri="{F7C98A9C-CBB3-438F-8F68-D28B6AF4A901}">
        <xltc2:checksum>50814744</xltc2:checksum>
        <xltc2:hyperlink startIndex="0" length="101" url="https://www.glassdoor.co.uk/Salaries/scotland-coating-technician-salary-SRCH_IL.0,8_IS7289_KO9,27.htm"/>
      </x:ext>
    </extLst>
  </threadedComment>
  <threadedComment ref="C50" dT="2024-11-08T14:39:07.78" personId="{ED91DED2-9272-4B24-8809-A147D9B556BE}" id="{E3D43696-9987-4C9A-A283-2AA1DCEB69E4}">
    <text>https://uk.indeed.com/career/crane-operator/salaries/Scotland</text>
    <extLst>
      <x:ext xmlns:xltc2="http://schemas.microsoft.com/office/spreadsheetml/2020/threadedcomments2" uri="{F7C98A9C-CBB3-438F-8F68-D28B6AF4A901}">
        <xltc2:checksum>2671102821</xltc2:checksum>
        <xltc2:hyperlink startIndex="0" length="61" url="https://uk.indeed.com/career/crane-operator/salaries/Scotland"/>
      </x:ext>
    </extLst>
  </threadedComment>
  <threadedComment ref="C51" dT="2024-11-08T14:39:07.78" personId="{ED91DED2-9272-4B24-8809-A147D9B556BE}" id="{2B702DB9-7F25-4FC3-91A8-049B06A9712A}">
    <text>https://uk.indeed.com/career/crane-operator/salaries/Scotland</text>
    <extLst>
      <x:ext xmlns:xltc2="http://schemas.microsoft.com/office/spreadsheetml/2020/threadedcomments2" uri="{F7C98A9C-CBB3-438F-8F68-D28B6AF4A901}">
        <xltc2:checksum>2671102821</xltc2:checksum>
        <xltc2:hyperlink startIndex="0" length="61" url="https://uk.indeed.com/career/crane-operator/salaries/Scotland"/>
      </x:ext>
    </extLst>
  </threadedComment>
  <threadedComment ref="C52" dT="2024-11-08T14:39:07.78" personId="{ED91DED2-9272-4B24-8809-A147D9B556BE}" id="{1C5AA006-9CAB-4FFE-AD22-28E8ABDDB5C1}">
    <text>https://uk.indeed.com/career/crane-operator/salaries/Scotland</text>
    <extLst>
      <x:ext xmlns:xltc2="http://schemas.microsoft.com/office/spreadsheetml/2020/threadedcomments2" uri="{F7C98A9C-CBB3-438F-8F68-D28B6AF4A901}">
        <xltc2:checksum>2671102821</xltc2:checksum>
        <xltc2:hyperlink startIndex="0" length="61" url="https://uk.indeed.com/career/crane-operator/salaries/Scotland"/>
      </x:ext>
    </extLst>
  </threadedComment>
  <threadedComment ref="C53" dT="2024-11-08T14:50:33.27" personId="{ED91DED2-9272-4B24-8809-A147D9B556BE}" id="{86DAE5E0-F1F9-4877-9E65-56E52D4B667B}">
    <text xml:space="preserve">https://www.glassdoor.co.uk/Salaries/scotland-fibre-optic-engineer-salary-SRCH_IL.0,8_IS7289_KO9,29.htm Adjusted for location
</text>
    <extLst>
      <x:ext xmlns:xltc2="http://schemas.microsoft.com/office/spreadsheetml/2020/threadedcomments2" uri="{F7C98A9C-CBB3-438F-8F68-D28B6AF4A901}">
        <xltc2:checksum>875993123</xltc2:checksum>
        <xltc2:hyperlink startIndex="0" length="103" url="https://www.glassdoor.co.uk/Salaries/scotland-fibre-optic-engineer-salary-SRCH_IL.0,8_IS7289_KO9,29.htm"/>
      </x:ext>
    </extLst>
  </threadedComment>
  <threadedComment ref="A54" dT="2024-10-23T08:04:26.86" personId="{ED91DED2-9272-4B24-8809-A147D9B556BE}" id="{EB7936CD-6F2F-4C54-8D04-AE0344936BC6}">
    <text>Electrical Technician in Green Port Hull</text>
  </threadedComment>
  <threadedComment ref="C54" dT="2024-10-24T07:46:38.11" personId="{ED91DED2-9272-4B24-8809-A147D9B556BE}" id="{04A1C0DD-EA09-48A7-BAB7-9AF2C29601F4}">
    <text>https://uk.indeed.com/viewjob?jk=7afadabaa8451452&amp;utm_campaign=google_jobs_apply&amp;utm_source=google_jobs_apply&amp;utm_medium=organic&amp;from=iaBackPress</text>
    <extLst>
      <x:ext xmlns:xltc2="http://schemas.microsoft.com/office/spreadsheetml/2020/threadedcomments2" uri="{F7C98A9C-CBB3-438F-8F68-D28B6AF4A901}">
        <xltc2:checksum>2952698674</xltc2:checksum>
        <xltc2:hyperlink startIndex="0" length="145" url="https://uk.indeed.com/viewjob?jk=7afadabaa8451452&amp;utm_campaign=google_jobs_apply&amp;utm_source=google_jobs_apply&amp;utm_medium=organic&amp;from=iaBackPress"/>
      </x:ext>
    </extLst>
  </threadedComment>
  <threadedComment ref="C55" dT="2024-11-08T14:50:33.27" personId="{ED91DED2-9272-4B24-8809-A147D9B556BE}" id="{C74F2DD5-669C-435F-91D9-CCE0A0A37D77}">
    <text xml:space="preserve">https://www.glassdoor.co.uk/Salaries/scotland-fibre-optic-engineer-salary-SRCH_IL.0,8_IS7289_KO9,29.htm Adjusted for location
</text>
    <extLst>
      <x:ext xmlns:xltc2="http://schemas.microsoft.com/office/spreadsheetml/2020/threadedcomments2" uri="{F7C98A9C-CBB3-438F-8F68-D28B6AF4A901}">
        <xltc2:checksum>875993123</xltc2:checksum>
        <xltc2:hyperlink startIndex="0" length="103" url="https://www.glassdoor.co.uk/Salaries/scotland-fibre-optic-engineer-salary-SRCH_IL.0,8_IS7289_KO9,29.htm"/>
      </x:ext>
    </extLst>
  </threadedComment>
  <threadedComment ref="C56" dT="2024-11-08T14:50:33.27" personId="{ED91DED2-9272-4B24-8809-A147D9B556BE}" id="{1FB2EC34-5553-4FED-86EB-EBF1F9916483}">
    <text xml:space="preserve">https://www.glassdoor.co.uk/Salaries/scotland-fibre-optic-engineer-salary-SRCH_IL.0,8_IS7289_KO9,29.htm Adjusted for location
</text>
    <extLst>
      <x:ext xmlns:xltc2="http://schemas.microsoft.com/office/spreadsheetml/2020/threadedcomments2" uri="{F7C98A9C-CBB3-438F-8F68-D28B6AF4A901}">
        <xltc2:checksum>875993123</xltc2:checksum>
        <xltc2:hyperlink startIndex="0" length="103" url="https://www.glassdoor.co.uk/Salaries/scotland-fibre-optic-engineer-salary-SRCH_IL.0,8_IS7289_KO9,29.htm"/>
      </x:ext>
    </extLst>
  </threadedComment>
  <threadedComment ref="C57" dT="2024-11-08T14:39:07.78" personId="{ED91DED2-9272-4B24-8809-A147D9B556BE}" id="{50693C0B-2A26-4B1A-9648-69DB506D6856}">
    <text>https://uk.indeed.com/career/crane-operator/salaries/Scotland Adjusted for location and experience</text>
    <extLst>
      <x:ext xmlns:xltc2="http://schemas.microsoft.com/office/spreadsheetml/2020/threadedcomments2" uri="{F7C98A9C-CBB3-438F-8F68-D28B6AF4A901}">
        <xltc2:checksum>1596264645</xltc2:checksum>
        <xltc2:hyperlink startIndex="0" length="61" url="https://uk.indeed.com/career/crane-operator/salaries/Scotland"/>
      </x:ext>
    </extLst>
  </threadedComment>
  <threadedComment ref="C58" dT="2024-10-24T08:19:44.20" personId="{ED91DED2-9272-4B24-8809-A147D9B556BE}" id="{8A2A7D7B-E43B-4996-B758-C71AED687396}">
    <text>https://www.glassdoor.co.uk/Salaries/health-and-safety-officer-salary-SRCH_KO0,25.htm Adjusted for location and experience</text>
    <extLst>
      <x:ext xmlns:xltc2="http://schemas.microsoft.com/office/spreadsheetml/2020/threadedcomments2" uri="{F7C98A9C-CBB3-438F-8F68-D28B6AF4A901}">
        <xltc2:checksum>1109814137</xltc2:checksum>
        <xltc2:hyperlink startIndex="0" length="85" url="https://www.glassdoor.co.uk/Salaries/health-and-safety-officer-salary-SRCH_KO0,25.htm"/>
      </x:ext>
    </extLst>
  </threadedComment>
  <threadedComment ref="C59" dT="2024-11-08T14:50:33.27" personId="{ED91DED2-9272-4B24-8809-A147D9B556BE}" id="{E67A9388-E8DE-46E7-9D64-2CD8DD2F5527}">
    <text xml:space="preserve">https://www.glassdoor.co.uk/Salaries/scotland-fibre-optic-engineer-salary-SRCH_IL.0,8_IS7289_KO9,29.htm Adjusted for location
</text>
    <extLst>
      <x:ext xmlns:xltc2="http://schemas.microsoft.com/office/spreadsheetml/2020/threadedcomments2" uri="{F7C98A9C-CBB3-438F-8F68-D28B6AF4A901}">
        <xltc2:checksum>875993123</xltc2:checksum>
        <xltc2:hyperlink startIndex="0" length="103" url="https://www.glassdoor.co.uk/Salaries/scotland-fibre-optic-engineer-salary-SRCH_IL.0,8_IS7289_KO9,29.htm"/>
      </x:ext>
    </extLst>
  </threadedComment>
  <threadedComment ref="C60" dT="2024-11-08T14:50:33.27" personId="{ED91DED2-9272-4B24-8809-A147D9B556BE}" id="{58B8E533-29E5-411C-89C3-B6B467C1D97A}">
    <text xml:space="preserve">https://www.glassdoor.co.uk/Salaries/scotland-fibre-optic-engineer-salary-SRCH_IL.0,8_IS7289_KO9,29.htm Adjusted for location
</text>
    <extLst>
      <x:ext xmlns:xltc2="http://schemas.microsoft.com/office/spreadsheetml/2020/threadedcomments2" uri="{F7C98A9C-CBB3-438F-8F68-D28B6AF4A901}">
        <xltc2:checksum>875993123</xltc2:checksum>
        <xltc2:hyperlink startIndex="0" length="103" url="https://www.glassdoor.co.uk/Salaries/scotland-fibre-optic-engineer-salary-SRCH_IL.0,8_IS7289_KO9,29.htm"/>
      </x:ext>
    </extLst>
  </threadedComment>
  <threadedComment ref="C62" dT="2024-11-07T15:44:49.72" personId="{ED91DED2-9272-4B24-8809-A147D9B556BE}" id="{27AE922B-57BA-4B46-BBF7-FC96947D2BD3}">
    <text>https://uk.indeed.com/career/design-engineer/salaries/Scotland?from=top_sb</text>
    <extLst>
      <x:ext xmlns:xltc2="http://schemas.microsoft.com/office/spreadsheetml/2020/threadedcomments2" uri="{F7C98A9C-CBB3-438F-8F68-D28B6AF4A901}">
        <xltc2:checksum>1414242431</xltc2:checksum>
        <xltc2:hyperlink startIndex="0" length="74" url="https://uk.indeed.com/career/design-engineer/salaries/Scotland?from=top_sb"/>
      </x:ext>
    </extLst>
  </threadedComment>
  <threadedComment ref="C63" dT="2024-11-07T15:44:49.72" personId="{ED91DED2-9272-4B24-8809-A147D9B556BE}" id="{D1663195-43F8-4DE2-BE4E-044C05C817EC}">
    <text>https://uk.indeed.com/career/design-engineer/salaries/Scotland?from=top_sb</text>
    <extLst>
      <x:ext xmlns:xltc2="http://schemas.microsoft.com/office/spreadsheetml/2020/threadedcomments2" uri="{F7C98A9C-CBB3-438F-8F68-D28B6AF4A901}">
        <xltc2:checksum>1414242431</xltc2:checksum>
        <xltc2:hyperlink startIndex="0" length="74" url="https://uk.indeed.com/career/design-engineer/salaries/Scotland?from=top_sb"/>
      </x:ext>
    </extLst>
  </threadedComment>
  <threadedComment ref="C64" dT="2024-11-07T15:44:49.72" personId="{ED91DED2-9272-4B24-8809-A147D9B556BE}" id="{CA013308-5EA9-4989-A82F-FA8F5C615AB7}">
    <text>https://uk.indeed.com/career/design-engineer/salaries/Scotland?from=top_sb</text>
    <extLst>
      <x:ext xmlns:xltc2="http://schemas.microsoft.com/office/spreadsheetml/2020/threadedcomments2" uri="{F7C98A9C-CBB3-438F-8F68-D28B6AF4A901}">
        <xltc2:checksum>1414242431</xltc2:checksum>
        <xltc2:hyperlink startIndex="0" length="74" url="https://uk.indeed.com/career/design-engineer/salaries/Scotland?from=top_sb"/>
      </x:ext>
    </extLst>
  </threadedComment>
  <threadedComment ref="C65" dT="2024-11-07T15:44:49.72" personId="{ED91DED2-9272-4B24-8809-A147D9B556BE}" id="{52B616D8-0039-4A14-8F73-452B64161E0F}">
    <text>https://uk.indeed.com/career/design-engineer/salaries/Scotland?from=top_sb</text>
    <extLst>
      <x:ext xmlns:xltc2="http://schemas.microsoft.com/office/spreadsheetml/2020/threadedcomments2" uri="{F7C98A9C-CBB3-438F-8F68-D28B6AF4A901}">
        <xltc2:checksum>1414242431</xltc2:checksum>
        <xltc2:hyperlink startIndex="0" length="74" url="https://uk.indeed.com/career/design-engineer/salaries/Scotland?from=top_sb"/>
      </x:ext>
    </extLst>
  </threadedComment>
  <threadedComment ref="C66" dT="2024-11-07T15:44:49.72" personId="{ED91DED2-9272-4B24-8809-A147D9B556BE}" id="{67E47A81-A3B5-47AA-A10C-CE5E7BBD897C}">
    <text>https://uk.indeed.com/career/design-engineer/salaries/Scotland?from=top_sb Adjusted for  location and experience</text>
    <extLst>
      <x:ext xmlns:xltc2="http://schemas.microsoft.com/office/spreadsheetml/2020/threadedcomments2" uri="{F7C98A9C-CBB3-438F-8F68-D28B6AF4A901}">
        <xltc2:checksum>1716177818</xltc2:checksum>
        <xltc2:hyperlink startIndex="0" length="74" url="https://uk.indeed.com/career/design-engineer/salaries/Scotland?from=top_sb"/>
      </x:ext>
    </extLst>
  </threadedComment>
  <threadedComment ref="C67" dT="2024-11-07T15:44:49.72" personId="{ED91DED2-9272-4B24-8809-A147D9B556BE}" id="{C73C4BA0-0077-4094-9303-A66FBFB4F98B}">
    <text>https://uk.indeed.com/career/design-engineer/salaries/Scotland?from=top_sb Adjusted for location, experience and skill level</text>
    <extLst>
      <x:ext xmlns:xltc2="http://schemas.microsoft.com/office/spreadsheetml/2020/threadedcomments2" uri="{F7C98A9C-CBB3-438F-8F68-D28B6AF4A901}">
        <xltc2:checksum>2690857100</xltc2:checksum>
        <xltc2:hyperlink startIndex="0" length="74" url="https://uk.indeed.com/career/design-engineer/salaries/Scotland?from=top_sb"/>
      </x:ext>
    </extLst>
  </threadedComment>
  <threadedComment ref="C69" dT="2024-11-08T14:29:09.47" personId="{ED91DED2-9272-4B24-8809-A147D9B556BE}" id="{1BFF14CB-9E05-47CE-A0BA-1E68C22DB4DF}">
    <text>https://uk.indeed.com/career/crew-manager/salaries/Scotland?from=top_sb Adjusted for location and experience</text>
    <extLst>
      <x:ext xmlns:xltc2="http://schemas.microsoft.com/office/spreadsheetml/2020/threadedcomments2" uri="{F7C98A9C-CBB3-438F-8F68-D28B6AF4A901}">
        <xltc2:checksum>1373078239</xltc2:checksum>
        <xltc2:hyperlink startIndex="0" length="71" url="https://uk.indeed.com/career/crew-manager/salaries/Scotland?from=top_sb"/>
      </x:ext>
    </extLst>
  </threadedComment>
  <threadedComment ref="C69" dT="2024-11-11T16:33:57.81" personId="{6BAF36A7-5346-4A74-A30E-FCC7E980D597}" id="{077E01D4-5BB1-494F-BD20-746EEF2102AC}" parentId="{1BFF14CB-9E05-47CE-A0BA-1E68C22DB4DF}">
    <text>I suspect that the range goes a lot higher than £55k for more experienced people</text>
  </threadedComment>
  <threadedComment ref="C70" dT="2024-11-08T14:29:09.47" personId="{ED91DED2-9272-4B24-8809-A147D9B556BE}" id="{21BA3550-6384-4210-8442-66F4DBCC0A42}">
    <text>https://uk.indeed.com/career/crew-manager/salaries/Scotland?from=top_sb Adjusted for location</text>
    <extLst>
      <x:ext xmlns:xltc2="http://schemas.microsoft.com/office/spreadsheetml/2020/threadedcomments2" uri="{F7C98A9C-CBB3-438F-8F68-D28B6AF4A901}">
        <xltc2:checksum>3331319776</xltc2:checksum>
        <xltc2:hyperlink startIndex="0" length="71" url="https://uk.indeed.com/career/crew-manager/salaries/Scotland?from=top_sb"/>
      </x:ext>
    </extLst>
  </threadedComment>
  <threadedComment ref="C71" dT="2024-11-08T14:24:29.15" personId="{ED91DED2-9272-4B24-8809-A147D9B556BE}" id="{88BC2DDB-0375-41F5-8FA6-883EE56DFF9D}">
    <text>https://www.glassdoor.co.uk/Salaries/scotland-deckhand-salary-SRCH_IL.0,8_IS7289_KO9,17.htm</text>
    <extLst>
      <x:ext xmlns:xltc2="http://schemas.microsoft.com/office/spreadsheetml/2020/threadedcomments2" uri="{F7C98A9C-CBB3-438F-8F68-D28B6AF4A901}">
        <xltc2:checksum>506292220</xltc2:checksum>
        <xltc2:hyperlink startIndex="0" length="91" url="https://www.glassdoor.co.uk/Salaries/scotland-deckhand-salary-SRCH_IL.0,8_IS7289_KO9,17.htm"/>
      </x:ext>
    </extLst>
  </threadedComment>
  <threadedComment ref="C72" dT="2024-11-07T15:44:49.72" personId="{ED91DED2-9272-4B24-8809-A147D9B556BE}" id="{2B6784F1-69E9-4DCF-9E4B-C46643ACEC4A}">
    <text>https://uk.indeed.com/career/design-engineer/salaries/Scotland?from=top_sb Adjusted for  location and experience</text>
    <extLst>
      <x:ext xmlns:xltc2="http://schemas.microsoft.com/office/spreadsheetml/2020/threadedcomments2" uri="{F7C98A9C-CBB3-438F-8F68-D28B6AF4A901}">
        <xltc2:checksum>1716177818</xltc2:checksum>
        <xltc2:hyperlink startIndex="0" length="74" url="https://uk.indeed.com/career/design-engineer/salaries/Scotland?from=top_sb"/>
      </x:ext>
    </extLst>
  </threadedComment>
  <threadedComment ref="C73" dT="2024-11-08T14:29:09.47" personId="{ED91DED2-9272-4B24-8809-A147D9B556BE}" id="{2A21899A-2893-41C1-B22D-6E902417D6D7}">
    <text>https://uk.indeed.com/career/crew-manager/salaries/Scotland?from=top_sb</text>
    <extLst>
      <x:ext xmlns:xltc2="http://schemas.microsoft.com/office/spreadsheetml/2020/threadedcomments2" uri="{F7C98A9C-CBB3-438F-8F68-D28B6AF4A901}">
        <xltc2:checksum>883020101</xltc2:checksum>
        <xltc2:hyperlink startIndex="0" length="71" url="https://uk.indeed.com/career/crew-manager/salaries/Scotland?from=top_sb"/>
      </x:ext>
    </extLst>
  </threadedComment>
  <threadedComment ref="C74" dT="2024-11-08T14:29:09.47" personId="{ED91DED2-9272-4B24-8809-A147D9B556BE}" id="{D32E9A49-0EFD-4970-99DE-AB92C91CA5A0}">
    <text>https://uk.indeed.com/career/crew-manager/salaries/Scotland?from=top_sb</text>
    <extLst>
      <x:ext xmlns:xltc2="http://schemas.microsoft.com/office/spreadsheetml/2020/threadedcomments2" uri="{F7C98A9C-CBB3-438F-8F68-D28B6AF4A901}">
        <xltc2:checksum>883020101</xltc2:checksum>
        <xltc2:hyperlink startIndex="0" length="71" url="https://uk.indeed.com/career/crew-manager/salaries/Scotland?from=top_sb"/>
      </x:ext>
    </extLst>
  </threadedComment>
  <threadedComment ref="C75" dT="2024-11-08T14:44:37.41" personId="{ED91DED2-9272-4B24-8809-A147D9B556BE}" id="{EDEF5F6E-F37B-4336-807D-0DA2CE8A4FAB}">
    <text>https://www.glassdoor.co.uk/Salaries/rov-sub-engineer-salary-SRCH_KO0,16.htm</text>
    <extLst>
      <x:ext xmlns:xltc2="http://schemas.microsoft.com/office/spreadsheetml/2020/threadedcomments2" uri="{F7C98A9C-CBB3-438F-8F68-D28B6AF4A901}">
        <xltc2:checksum>3433410511</xltc2:checksum>
        <xltc2:hyperlink startIndex="0" length="76" url="https://www.glassdoor.co.uk/Salaries/rov-sub-engineer-salary-SRCH_KO0,16.htm"/>
      </x:ext>
    </extLst>
  </threadedComment>
  <threadedComment ref="C76" dT="2024-11-08T14:43:01.84" personId="{ED91DED2-9272-4B24-8809-A147D9B556BE}" id="{308AF68B-917C-4B8F-A747-34EAF1A800D2}">
    <text>https://www.glassdoor.co.uk/Salaries/scotland-diver-salary-SRCH_IL.0,8_IS7289_KO9,14.htm Adjusted for location and experience</text>
    <extLst>
      <x:ext xmlns:xltc2="http://schemas.microsoft.com/office/spreadsheetml/2020/threadedcomments2" uri="{F7C98A9C-CBB3-438F-8F68-D28B6AF4A901}">
        <xltc2:checksum>1370825890</xltc2:checksum>
        <xltc2:hyperlink startIndex="0" length="88" url="https://www.glassdoor.co.uk/Salaries/scotland-diver-salary-SRCH_IL.0,8_IS7289_KO9,14.htm"/>
      </x:ext>
    </extLst>
  </threadedComment>
  <threadedComment ref="C76" dT="2024-11-11T16:28:16.49" personId="{6BAF36A7-5346-4A74-A30E-FCC7E980D597}" id="{D8DFBD33-4FD6-4447-A758-BA9383097035}" parentId="{308AF68B-917C-4B8F-A747-34EAF1A800D2}">
    <text>Should this not be higher than ROV operators? More risk involved</text>
  </threadedComment>
  <threadedComment ref="C77" dT="2024-11-07T15:44:49.72" personId="{ED91DED2-9272-4B24-8809-A147D9B556BE}" id="{DA4233A8-C3FA-4757-93E9-F90DCA34F9A8}">
    <text>https://uk.indeed.com/career/design-engineer/salaries/Scotland?from=top_sb Adjusted for  location and experience</text>
    <extLst>
      <x:ext xmlns:xltc2="http://schemas.microsoft.com/office/spreadsheetml/2020/threadedcomments2" uri="{F7C98A9C-CBB3-438F-8F68-D28B6AF4A901}">
        <xltc2:checksum>1716177818</xltc2:checksum>
        <xltc2:hyperlink startIndex="0" length="74" url="https://uk.indeed.com/career/design-engineer/salaries/Scotland?from=top_sb"/>
      </x:ext>
    </extLst>
  </threadedComment>
  <threadedComment ref="C78" dT="2024-11-07T16:41:28.19" personId="{ED91DED2-9272-4B24-8809-A147D9B556BE}" id="{CEB7A880-89AB-4DF4-9DF1-13FD59A25767}">
    <text>https://www.glassdoor.co.uk/Salaries/uk-dock-master-salary-SRCH_IL.0,2_IN2_KO3,14.htm</text>
    <extLst>
      <x:ext xmlns:xltc2="http://schemas.microsoft.com/office/spreadsheetml/2020/threadedcomments2" uri="{F7C98A9C-CBB3-438F-8F68-D28B6AF4A901}">
        <xltc2:checksum>2443899251</xltc2:checksum>
        <xltc2:hyperlink startIndex="0" length="85" url="https://www.glassdoor.co.uk/Salaries/uk-dock-master-salary-SRCH_IL.0,2_IN2_KO3,14.htm"/>
      </x:ext>
    </extLst>
  </threadedComment>
  <threadedComment ref="C79" dT="2024-11-07T16:42:20.28" personId="{ED91DED2-9272-4B24-8809-A147D9B556BE}" id="{61C1D537-8D55-4EA2-9C1A-F980B9C64431}">
    <text>https://www.glassdoor.co.uk/Salaries/scotland-ships-agent-salary-SRCH_IL.0,8_IS7289_KO9,20.htm</text>
    <extLst>
      <x:ext xmlns:xltc2="http://schemas.microsoft.com/office/spreadsheetml/2020/threadedcomments2" uri="{F7C98A9C-CBB3-438F-8F68-D28B6AF4A901}">
        <xltc2:checksum>782827200</xltc2:checksum>
        <xltc2:hyperlink startIndex="0" length="94" url="https://www.glassdoor.co.uk/Salaries/scotland-ships-agent-salary-SRCH_IL.0,8_IS7289_KO9,20.htm"/>
      </x:ext>
    </extLst>
  </threadedComment>
  <threadedComment ref="C80" dT="2024-11-07T16:41:28.19" personId="{ED91DED2-9272-4B24-8809-A147D9B556BE}" id="{80C0FE32-FFE1-4CA0-8520-D094CAA1F4A1}">
    <text>https://www.glassdoor.co.uk/Salaries/uk-dock-master-salary-SRCH_IL.0,2_IN2_KO3,14.htm</text>
    <extLst>
      <x:ext xmlns:xltc2="http://schemas.microsoft.com/office/spreadsheetml/2020/threadedcomments2" uri="{F7C98A9C-CBB3-438F-8F68-D28B6AF4A901}">
        <xltc2:checksum>2443899251</xltc2:checksum>
        <xltc2:hyperlink startIndex="0" length="85" url="https://www.glassdoor.co.uk/Salaries/uk-dock-master-salary-SRCH_IL.0,2_IN2_KO3,14.htm"/>
      </x:ext>
    </extLst>
  </threadedComment>
  <threadedComment ref="C81" dT="2024-11-07T16:42:20.28" personId="{ED91DED2-9272-4B24-8809-A147D9B556BE}" id="{77DEAEDF-77E2-43C9-94F7-F0BE80B331DD}">
    <text>https://www.glassdoor.co.uk/Salaries/scotland-ships-agent-salary-SRCH_IL.0,8_IS7289_KO9,20.htm Adjusted for experience</text>
    <extLst>
      <x:ext xmlns:xltc2="http://schemas.microsoft.com/office/spreadsheetml/2020/threadedcomments2" uri="{F7C98A9C-CBB3-438F-8F68-D28B6AF4A901}">
        <xltc2:checksum>4090115434</xltc2:checksum>
        <xltc2:hyperlink startIndex="0" length="94" url="https://www.glassdoor.co.uk/Salaries/scotland-ships-agent-salary-SRCH_IL.0,8_IS7289_KO9,20.htm"/>
      </x:ext>
    </extLst>
  </threadedComment>
  <threadedComment ref="C82" dT="2024-11-07T16:42:20.28" personId="{ED91DED2-9272-4B24-8809-A147D9B556BE}" id="{94089553-DC54-412E-ADEB-05227614E0DE}">
    <text>https://www.glassdoor.co.uk/Salaries/scotland-ships-agent-salary-SRCH_IL.0,8_IS7289_KO9,20.htm</text>
    <extLst>
      <x:ext xmlns:xltc2="http://schemas.microsoft.com/office/spreadsheetml/2020/threadedcomments2" uri="{F7C98A9C-CBB3-438F-8F68-D28B6AF4A901}">
        <xltc2:checksum>782827200</xltc2:checksum>
        <xltc2:hyperlink startIndex="0" length="94" url="https://www.glassdoor.co.uk/Salaries/scotland-ships-agent-salary-SRCH_IL.0,8_IS7289_KO9,20.htm"/>
      </x:ext>
    </extLst>
  </threadedComment>
  <threadedComment ref="C83" dT="2024-11-07T16:41:28.19" personId="{ED91DED2-9272-4B24-8809-A147D9B556BE}" id="{73F97020-8E1E-4F25-84D5-953C42145966}">
    <text>https://www.glassdoor.co.uk/Salaries/uk-dock-master-salary-SRCH_IL.0,2_IN2_KO3,14.htm</text>
    <extLst>
      <x:ext xmlns:xltc2="http://schemas.microsoft.com/office/spreadsheetml/2020/threadedcomments2" uri="{F7C98A9C-CBB3-438F-8F68-D28B6AF4A901}">
        <xltc2:checksum>2443899251</xltc2:checksum>
        <xltc2:hyperlink startIndex="0" length="85" url="https://www.glassdoor.co.uk/Salaries/uk-dock-master-salary-SRCH_IL.0,2_IN2_KO3,14.htm"/>
      </x:ext>
    </extLst>
  </threadedComment>
  <threadedComment ref="C84" dT="2024-11-08T14:24:29.15" personId="{ED91DED2-9272-4B24-8809-A147D9B556BE}" id="{19BA1D61-56CF-44BF-9C69-A11EAFC1FB2D}">
    <text>https://www.glassdoor.co.uk/Salaries/scotland-deckhand-salary-SRCH_IL.0,8_IS7289_KO9,17.htm</text>
    <extLst>
      <x:ext xmlns:xltc2="http://schemas.microsoft.com/office/spreadsheetml/2020/threadedcomments2" uri="{F7C98A9C-CBB3-438F-8F68-D28B6AF4A901}">
        <xltc2:checksum>506292220</xltc2:checksum>
        <xltc2:hyperlink startIndex="0" length="91" url="https://www.glassdoor.co.uk/Salaries/scotland-deckhand-salary-SRCH_IL.0,8_IS7289_KO9,17.htm"/>
      </x:ext>
    </extLst>
  </threadedComment>
  <threadedComment ref="C86" dT="2024-10-23T15:58:29.31" personId="{ED91DED2-9272-4B24-8809-A147D9B556BE}" id="{69ECAA50-1625-4D0F-80C5-4E26A9997072}">
    <text>https://iberdrola.wd3.myworkdayjobs.com/en-US/Iberdrola/details/IT-Security-Lead_R-09657?locationCountry=29247e57dbaf46fb855b224e03170bc7</text>
    <extLst>
      <x:ext xmlns:xltc2="http://schemas.microsoft.com/office/spreadsheetml/2020/threadedcomments2" uri="{F7C98A9C-CBB3-438F-8F68-D28B6AF4A901}">
        <xltc2:checksum>2287102852</xltc2:checksum>
        <xltc2:hyperlink startIndex="0" length="137" url="https://iberdrola.wd3.myworkdayjobs.com/en-US/Iberdrola/details/IT-Security-Lead_R-09657?locationCountry=29247e57dbaf46fb855b224e03170bc7"/>
      </x:ext>
    </extLst>
  </threadedComment>
  <threadedComment ref="C87" dT="2024-11-07T15:04:36.54" personId="{ED91DED2-9272-4B24-8809-A147D9B556BE}" id="{9A10E63B-7E58-4DF4-99B9-87ADFA276E9C}">
    <text>https://uk.indeed.com/career/data-processor/salaries/Scotland?from=top_sb</text>
    <extLst>
      <x:ext xmlns:xltc2="http://schemas.microsoft.com/office/spreadsheetml/2020/threadedcomments2" uri="{F7C98A9C-CBB3-438F-8F68-D28B6AF4A901}">
        <xltc2:checksum>2373292163</xltc2:checksum>
        <xltc2:hyperlink startIndex="0" length="73" url="https://uk.indeed.com/career/data-processor/salaries/Scotland?from=top_sb"/>
      </x:ext>
    </extLst>
  </threadedComment>
  <threadedComment ref="C88" dT="2024-11-07T15:04:36.54" personId="{ED91DED2-9272-4B24-8809-A147D9B556BE}" id="{B8ED0DD2-7A6D-4C21-B552-9757FF73360D}">
    <text>https://uk.indeed.com/career/data-processor/salaries/Scotland?from=top_sb Adjusted for skill level</text>
    <extLst>
      <x:ext xmlns:xltc2="http://schemas.microsoft.com/office/spreadsheetml/2020/threadedcomments2" uri="{F7C98A9C-CBB3-438F-8F68-D28B6AF4A901}">
        <xltc2:checksum>2516829037</xltc2:checksum>
        <xltc2:hyperlink startIndex="0" length="73" url="https://uk.indeed.com/career/data-processor/salaries/Scotland?from=top_sb"/>
      </x:ext>
    </extLst>
  </threadedComment>
  <threadedComment ref="C89" dT="2024-11-07T15:04:36.54" personId="{ED91DED2-9272-4B24-8809-A147D9B556BE}" id="{3F42227F-6344-4E7F-BF63-9BD08216DF30}">
    <text>https://uk.indeed.com/career/data-processor/salaries/Scotland?from=top_sb</text>
    <extLst>
      <x:ext xmlns:xltc2="http://schemas.microsoft.com/office/spreadsheetml/2020/threadedcomments2" uri="{F7C98A9C-CBB3-438F-8F68-D28B6AF4A901}">
        <xltc2:checksum>2373292163</xltc2:checksum>
        <xltc2:hyperlink startIndex="0" length="73" url="https://uk.indeed.com/career/data-processor/salaries/Scotland?from=top_sb"/>
      </x:ext>
    </extLst>
  </threadedComment>
  <threadedComment ref="C90" dT="2024-11-07T15:04:36.54" personId="{ED91DED2-9272-4B24-8809-A147D9B556BE}" id="{8B1ECD73-9FEF-4B80-86CC-C3A9C2ACBE1D}">
    <text>https://uk.indeed.com/career/data-processor/salaries/Scotland?from=top_sb Adjusted for skill level</text>
    <extLst>
      <x:ext xmlns:xltc2="http://schemas.microsoft.com/office/spreadsheetml/2020/threadedcomments2" uri="{F7C98A9C-CBB3-438F-8F68-D28B6AF4A901}">
        <xltc2:checksum>2516829037</xltc2:checksum>
        <xltc2:hyperlink startIndex="0" length="73" url="https://uk.indeed.com/career/data-processor/salaries/Scotland?from=top_sb"/>
      </x:ext>
    </extLst>
  </threadedComment>
  <threadedComment ref="C91" dT="2024-11-07T15:04:36.54" personId="{ED91DED2-9272-4B24-8809-A147D9B556BE}" id="{0DA8469F-DC4D-4A45-8211-39EA56554902}">
    <text>https://uk.indeed.com/career/data-processor/salaries/Scotland?from=top_sb</text>
    <extLst>
      <x:ext xmlns:xltc2="http://schemas.microsoft.com/office/spreadsheetml/2020/threadedcomments2" uri="{F7C98A9C-CBB3-438F-8F68-D28B6AF4A901}">
        <xltc2:checksum>2373292163</xltc2:checksum>
        <xltc2:hyperlink startIndex="0" length="73" url="https://uk.indeed.com/career/data-processor/salaries/Scotland?from=top_sb"/>
      </x:ext>
    </extLs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511C5-D250-41F5-94CC-9F47752EF4C1}">
  <dimension ref="A1:B18"/>
  <sheetViews>
    <sheetView tabSelected="1" workbookViewId="0">
      <pane ySplit="1" topLeftCell="A2" activePane="bottomLeft" state="frozen"/>
      <selection pane="bottomLeft" activeCell="B8" sqref="B8"/>
    </sheetView>
  </sheetViews>
  <sheetFormatPr defaultRowHeight="14.5" x14ac:dyDescent="0.35"/>
  <cols>
    <col min="1" max="1" width="58.6328125" style="53" customWidth="1"/>
    <col min="2" max="2" width="69.26953125" style="54" customWidth="1"/>
  </cols>
  <sheetData>
    <row r="1" spans="1:2" x14ac:dyDescent="0.35">
      <c r="A1" s="52" t="s">
        <v>376</v>
      </c>
    </row>
    <row r="2" spans="1:2" x14ac:dyDescent="0.35">
      <c r="A2" s="53" t="s">
        <v>391</v>
      </c>
      <c r="B2" s="54" t="s">
        <v>392</v>
      </c>
    </row>
    <row r="3" spans="1:2" ht="29" x14ac:dyDescent="0.35">
      <c r="A3" s="53" t="s">
        <v>390</v>
      </c>
      <c r="B3" s="54" t="s">
        <v>393</v>
      </c>
    </row>
    <row r="4" spans="1:2" x14ac:dyDescent="0.35">
      <c r="A4" s="53" t="s">
        <v>221</v>
      </c>
      <c r="B4" s="54" t="s">
        <v>377</v>
      </c>
    </row>
    <row r="5" spans="1:2" x14ac:dyDescent="0.35">
      <c r="A5" s="53" t="s">
        <v>222</v>
      </c>
      <c r="B5" s="54" t="s">
        <v>378</v>
      </c>
    </row>
    <row r="6" spans="1:2" x14ac:dyDescent="0.35">
      <c r="A6" s="53" t="s">
        <v>223</v>
      </c>
      <c r="B6" s="54" t="s">
        <v>379</v>
      </c>
    </row>
    <row r="7" spans="1:2" x14ac:dyDescent="0.35">
      <c r="A7" s="53" t="s">
        <v>6</v>
      </c>
      <c r="B7" s="54" t="s">
        <v>380</v>
      </c>
    </row>
    <row r="8" spans="1:2" x14ac:dyDescent="0.35">
      <c r="A8" s="53" t="s">
        <v>224</v>
      </c>
      <c r="B8" s="54" t="s">
        <v>386</v>
      </c>
    </row>
    <row r="9" spans="1:2" ht="43.5" x14ac:dyDescent="0.35">
      <c r="A9" s="53" t="s">
        <v>394</v>
      </c>
      <c r="B9" s="54" t="s">
        <v>388</v>
      </c>
    </row>
    <row r="10" spans="1:2" ht="43.5" x14ac:dyDescent="0.35">
      <c r="A10" s="53" t="s">
        <v>381</v>
      </c>
      <c r="B10" s="54" t="s">
        <v>387</v>
      </c>
    </row>
    <row r="11" spans="1:2" ht="116" x14ac:dyDescent="0.35">
      <c r="A11" s="53" t="s">
        <v>276</v>
      </c>
      <c r="B11" s="54" t="s">
        <v>385</v>
      </c>
    </row>
    <row r="12" spans="1:2" ht="43.5" x14ac:dyDescent="0.35">
      <c r="A12" s="53" t="s">
        <v>382</v>
      </c>
      <c r="B12" s="54" t="s">
        <v>395</v>
      </c>
    </row>
    <row r="13" spans="1:2" ht="29" x14ac:dyDescent="0.35">
      <c r="A13" s="53" t="s">
        <v>360</v>
      </c>
      <c r="B13" s="54" t="s">
        <v>389</v>
      </c>
    </row>
    <row r="14" spans="1:2" x14ac:dyDescent="0.35">
      <c r="A14" s="53" t="s">
        <v>11</v>
      </c>
      <c r="B14" s="54" t="s">
        <v>383</v>
      </c>
    </row>
    <row r="15" spans="1:2" ht="29" x14ac:dyDescent="0.35">
      <c r="A15" s="53" t="s">
        <v>294</v>
      </c>
      <c r="B15" s="54" t="s">
        <v>384</v>
      </c>
    </row>
    <row r="18" spans="1:2" ht="52" customHeight="1" x14ac:dyDescent="0.35">
      <c r="A18" s="1" t="s">
        <v>397</v>
      </c>
      <c r="B18" s="1"/>
    </row>
  </sheetData>
  <mergeCells count="1">
    <mergeCell ref="A18:B1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7304D-FD6C-4CF8-9C8F-58918B417C6E}">
  <dimension ref="A1:Q123"/>
  <sheetViews>
    <sheetView topLeftCell="C1" zoomScale="80" zoomScaleNormal="80" workbookViewId="0">
      <pane ySplit="1" topLeftCell="A30" activePane="bottomLeft" state="frozen"/>
      <selection pane="bottomLeft" activeCell="A81" sqref="A81:XFD81"/>
    </sheetView>
  </sheetViews>
  <sheetFormatPr defaultRowHeight="14.5" x14ac:dyDescent="0.35"/>
  <cols>
    <col min="1" max="1" width="32" style="13" customWidth="1"/>
    <col min="2" max="2" width="82.81640625" style="13" customWidth="1"/>
    <col min="3" max="3" width="60.1796875" style="13" customWidth="1"/>
    <col min="4" max="4" width="5.54296875" style="9" customWidth="1"/>
    <col min="5" max="5" width="8.81640625" style="9" customWidth="1"/>
    <col min="6" max="6" width="9.26953125" style="9" customWidth="1"/>
    <col min="7" max="7" width="9.08984375" style="9" customWidth="1"/>
    <col min="8" max="8" width="8.7265625" style="9" customWidth="1"/>
    <col min="9" max="9" width="14.1796875" style="9" customWidth="1"/>
    <col min="10" max="10" width="17.54296875" style="9" customWidth="1"/>
    <col min="11" max="11" width="13.6328125" style="3" customWidth="1"/>
    <col min="12" max="13" width="9.54296875" style="9" customWidth="1"/>
    <col min="14" max="14" width="17" style="9" customWidth="1"/>
    <col min="15" max="15" width="11.54296875" bestFit="1" customWidth="1"/>
  </cols>
  <sheetData>
    <row r="1" spans="1:15" s="24" customFormat="1" ht="43.5" x14ac:dyDescent="0.35">
      <c r="A1" s="41" t="s">
        <v>0</v>
      </c>
      <c r="B1" s="41" t="s">
        <v>1</v>
      </c>
      <c r="C1" s="41" t="s">
        <v>297</v>
      </c>
      <c r="D1" s="41" t="s">
        <v>221</v>
      </c>
      <c r="E1" s="41" t="s">
        <v>222</v>
      </c>
      <c r="F1" s="41" t="s">
        <v>223</v>
      </c>
      <c r="G1" s="41" t="s">
        <v>6</v>
      </c>
      <c r="H1" s="41" t="s">
        <v>224</v>
      </c>
      <c r="I1" s="41" t="s">
        <v>394</v>
      </c>
      <c r="J1" s="41" t="s">
        <v>296</v>
      </c>
      <c r="K1" s="41" t="s">
        <v>276</v>
      </c>
      <c r="L1" s="41" t="s">
        <v>10</v>
      </c>
      <c r="M1" s="41" t="s">
        <v>360</v>
      </c>
      <c r="N1" s="41" t="s">
        <v>11</v>
      </c>
      <c r="O1" s="21" t="s">
        <v>294</v>
      </c>
    </row>
    <row r="2" spans="1:15" ht="64.5" customHeight="1" x14ac:dyDescent="0.35">
      <c r="A2" s="15" t="s">
        <v>190</v>
      </c>
      <c r="B2" s="13" t="s">
        <v>191</v>
      </c>
      <c r="C2" s="13" t="s">
        <v>345</v>
      </c>
      <c r="D2" s="51" t="s">
        <v>225</v>
      </c>
      <c r="E2" s="51" t="s">
        <v>225</v>
      </c>
      <c r="F2" s="51" t="s">
        <v>225</v>
      </c>
      <c r="G2" s="51" t="s">
        <v>225</v>
      </c>
      <c r="H2" s="51" t="s">
        <v>225</v>
      </c>
      <c r="I2" s="48"/>
      <c r="J2" s="9" t="s">
        <v>16</v>
      </c>
      <c r="K2" s="47" t="s">
        <v>275</v>
      </c>
      <c r="L2" s="9" t="s">
        <v>218</v>
      </c>
      <c r="M2" s="9" t="s">
        <v>362</v>
      </c>
      <c r="N2" s="9" t="s">
        <v>193</v>
      </c>
      <c r="O2" s="9"/>
    </row>
    <row r="3" spans="1:15" ht="59.5" customHeight="1" x14ac:dyDescent="0.35">
      <c r="A3" s="15" t="s">
        <v>194</v>
      </c>
      <c r="B3" s="13" t="s">
        <v>195</v>
      </c>
      <c r="C3" s="13" t="s">
        <v>345</v>
      </c>
      <c r="D3" s="51" t="s">
        <v>225</v>
      </c>
      <c r="E3" s="51" t="s">
        <v>225</v>
      </c>
      <c r="F3" s="51" t="s">
        <v>225</v>
      </c>
      <c r="G3" s="51" t="s">
        <v>225</v>
      </c>
      <c r="H3" s="51" t="s">
        <v>225</v>
      </c>
      <c r="I3" s="48"/>
      <c r="J3" s="9" t="s">
        <v>16</v>
      </c>
      <c r="K3" s="47" t="s">
        <v>275</v>
      </c>
      <c r="L3" s="9" t="s">
        <v>218</v>
      </c>
      <c r="M3" s="9" t="s">
        <v>362</v>
      </c>
      <c r="N3" s="9" t="s">
        <v>193</v>
      </c>
      <c r="O3" s="9"/>
    </row>
    <row r="4" spans="1:15" ht="58" x14ac:dyDescent="0.35">
      <c r="A4" s="15" t="s">
        <v>198</v>
      </c>
      <c r="B4" s="13" t="s">
        <v>199</v>
      </c>
      <c r="C4" s="13" t="s">
        <v>346</v>
      </c>
      <c r="D4" s="51" t="s">
        <v>225</v>
      </c>
      <c r="E4" s="51" t="s">
        <v>225</v>
      </c>
      <c r="F4" s="51" t="s">
        <v>225</v>
      </c>
      <c r="G4" s="51" t="s">
        <v>225</v>
      </c>
      <c r="H4" s="51" t="s">
        <v>225</v>
      </c>
      <c r="I4" s="48"/>
      <c r="J4" s="9" t="s">
        <v>46</v>
      </c>
      <c r="K4" s="47" t="s">
        <v>275</v>
      </c>
      <c r="L4" s="9" t="s">
        <v>218</v>
      </c>
      <c r="M4" s="9" t="s">
        <v>362</v>
      </c>
      <c r="N4" s="9" t="s">
        <v>193</v>
      </c>
      <c r="O4" s="9"/>
    </row>
    <row r="5" spans="1:15" ht="61" customHeight="1" x14ac:dyDescent="0.35">
      <c r="A5" s="15" t="s">
        <v>363</v>
      </c>
      <c r="B5" s="15" t="s">
        <v>364</v>
      </c>
      <c r="C5" s="13" t="s">
        <v>347</v>
      </c>
      <c r="D5" s="51" t="s">
        <v>225</v>
      </c>
      <c r="E5" s="51"/>
      <c r="F5" s="51" t="s">
        <v>225</v>
      </c>
      <c r="G5" s="51" t="s">
        <v>225</v>
      </c>
      <c r="H5" s="51" t="s">
        <v>225</v>
      </c>
      <c r="I5" s="48"/>
      <c r="J5" s="9" t="s">
        <v>73</v>
      </c>
      <c r="K5" s="46" t="s">
        <v>274</v>
      </c>
      <c r="L5" s="9" t="s">
        <v>218</v>
      </c>
      <c r="M5" s="9" t="s">
        <v>362</v>
      </c>
      <c r="N5" s="9" t="s">
        <v>193</v>
      </c>
      <c r="O5" s="9"/>
    </row>
    <row r="6" spans="1:15" ht="58" x14ac:dyDescent="0.35">
      <c r="A6" s="15" t="s">
        <v>208</v>
      </c>
      <c r="B6" s="13" t="s">
        <v>289</v>
      </c>
      <c r="C6" s="13" t="s">
        <v>352</v>
      </c>
      <c r="D6" s="51" t="s">
        <v>225</v>
      </c>
      <c r="E6" s="51" t="s">
        <v>225</v>
      </c>
      <c r="F6" s="51" t="s">
        <v>225</v>
      </c>
      <c r="G6" s="51" t="s">
        <v>225</v>
      </c>
      <c r="H6" s="51" t="s">
        <v>225</v>
      </c>
      <c r="I6" s="48" t="s">
        <v>293</v>
      </c>
      <c r="J6" s="9" t="s">
        <v>73</v>
      </c>
      <c r="K6" s="46" t="s">
        <v>274</v>
      </c>
      <c r="L6" s="9" t="s">
        <v>226</v>
      </c>
      <c r="M6" s="9" t="s">
        <v>361</v>
      </c>
      <c r="N6" s="9" t="s">
        <v>193</v>
      </c>
      <c r="O6" s="9" t="s">
        <v>293</v>
      </c>
    </row>
    <row r="7" spans="1:15" ht="43.5" x14ac:dyDescent="0.35">
      <c r="A7" s="15" t="s">
        <v>202</v>
      </c>
      <c r="B7" s="13" t="s">
        <v>203</v>
      </c>
      <c r="C7" s="13" t="s">
        <v>348</v>
      </c>
      <c r="D7" s="51" t="s">
        <v>225</v>
      </c>
      <c r="E7" s="51" t="s">
        <v>225</v>
      </c>
      <c r="F7" s="51" t="s">
        <v>225</v>
      </c>
      <c r="G7" s="51" t="s">
        <v>225</v>
      </c>
      <c r="H7" s="51" t="s">
        <v>225</v>
      </c>
      <c r="I7" s="48" t="s">
        <v>293</v>
      </c>
      <c r="J7" s="9" t="s">
        <v>73</v>
      </c>
      <c r="K7" s="45" t="s">
        <v>273</v>
      </c>
      <c r="L7" s="9" t="s">
        <v>218</v>
      </c>
      <c r="M7" s="9" t="s">
        <v>362</v>
      </c>
      <c r="N7" s="9" t="s">
        <v>193</v>
      </c>
      <c r="O7" s="9"/>
    </row>
    <row r="8" spans="1:15" ht="58" x14ac:dyDescent="0.35">
      <c r="A8" s="15" t="s">
        <v>290</v>
      </c>
      <c r="B8" s="13" t="s">
        <v>302</v>
      </c>
      <c r="C8" s="13" t="s">
        <v>303</v>
      </c>
      <c r="D8" s="51" t="s">
        <v>225</v>
      </c>
      <c r="E8" s="51"/>
      <c r="F8" s="51" t="s">
        <v>225</v>
      </c>
      <c r="G8" s="51" t="s">
        <v>225</v>
      </c>
      <c r="H8" s="51" t="s">
        <v>225</v>
      </c>
      <c r="I8" s="48"/>
      <c r="J8" s="9" t="s">
        <v>16</v>
      </c>
      <c r="K8" s="47" t="s">
        <v>275</v>
      </c>
      <c r="L8" s="9" t="s">
        <v>218</v>
      </c>
      <c r="M8" s="9" t="s">
        <v>362</v>
      </c>
      <c r="N8" s="9" t="s">
        <v>178</v>
      </c>
      <c r="O8" s="9" t="s">
        <v>293</v>
      </c>
    </row>
    <row r="9" spans="1:15" ht="58" x14ac:dyDescent="0.35">
      <c r="A9" s="15" t="s">
        <v>295</v>
      </c>
      <c r="B9" s="15" t="s">
        <v>188</v>
      </c>
      <c r="C9" s="13" t="s">
        <v>344</v>
      </c>
      <c r="D9" s="51" t="s">
        <v>225</v>
      </c>
      <c r="E9" s="51"/>
      <c r="F9" s="51" t="s">
        <v>225</v>
      </c>
      <c r="G9" s="51"/>
      <c r="H9" s="51" t="s">
        <v>225</v>
      </c>
      <c r="I9" s="48"/>
      <c r="J9" s="9" t="s">
        <v>16</v>
      </c>
      <c r="K9" s="47" t="s">
        <v>275</v>
      </c>
      <c r="L9" s="9" t="s">
        <v>218</v>
      </c>
      <c r="M9" s="9" t="s">
        <v>362</v>
      </c>
      <c r="N9" s="9" t="s">
        <v>178</v>
      </c>
      <c r="O9" s="9" t="s">
        <v>293</v>
      </c>
    </row>
    <row r="10" spans="1:15" ht="58" x14ac:dyDescent="0.35">
      <c r="A10" s="15" t="s">
        <v>267</v>
      </c>
      <c r="B10" s="13" t="s">
        <v>180</v>
      </c>
      <c r="C10" s="13" t="s">
        <v>341</v>
      </c>
      <c r="D10" s="51" t="s">
        <v>225</v>
      </c>
      <c r="E10" s="51" t="s">
        <v>225</v>
      </c>
      <c r="F10" s="51"/>
      <c r="G10" s="51"/>
      <c r="H10" s="51"/>
      <c r="I10" s="48"/>
      <c r="J10" s="9" t="s">
        <v>16</v>
      </c>
      <c r="K10" s="47" t="s">
        <v>275</v>
      </c>
      <c r="L10" s="9" t="s">
        <v>218</v>
      </c>
      <c r="M10" s="9" t="s">
        <v>362</v>
      </c>
      <c r="N10" s="9" t="s">
        <v>178</v>
      </c>
      <c r="O10" s="9"/>
    </row>
    <row r="11" spans="1:15" ht="43.5" x14ac:dyDescent="0.35">
      <c r="A11" s="15" t="s">
        <v>21</v>
      </c>
      <c r="B11" s="13" t="s">
        <v>282</v>
      </c>
      <c r="C11" s="13" t="s">
        <v>307</v>
      </c>
      <c r="D11" s="51" t="s">
        <v>225</v>
      </c>
      <c r="E11" s="51" t="s">
        <v>225</v>
      </c>
      <c r="F11" s="51"/>
      <c r="G11" s="51"/>
      <c r="H11" s="51"/>
      <c r="I11" s="48"/>
      <c r="J11" s="9" t="s">
        <v>16</v>
      </c>
      <c r="K11" s="46" t="s">
        <v>274</v>
      </c>
      <c r="L11" s="9" t="s">
        <v>218</v>
      </c>
      <c r="M11" s="9" t="s">
        <v>362</v>
      </c>
      <c r="N11" s="9" t="s">
        <v>178</v>
      </c>
      <c r="O11" s="9" t="s">
        <v>293</v>
      </c>
    </row>
    <row r="12" spans="1:15" ht="58" x14ac:dyDescent="0.35">
      <c r="A12" s="15" t="s">
        <v>13</v>
      </c>
      <c r="B12" s="13" t="s">
        <v>280</v>
      </c>
      <c r="C12" s="13" t="s">
        <v>306</v>
      </c>
      <c r="D12" s="51" t="s">
        <v>225</v>
      </c>
      <c r="E12" s="51"/>
      <c r="F12" s="51"/>
      <c r="G12" s="51"/>
      <c r="H12" s="51"/>
      <c r="I12" s="48"/>
      <c r="J12" s="9" t="s">
        <v>16</v>
      </c>
      <c r="K12" s="46" t="s">
        <v>274</v>
      </c>
      <c r="L12" s="9" t="s">
        <v>218</v>
      </c>
      <c r="M12" s="9" t="s">
        <v>362</v>
      </c>
      <c r="N12" s="9" t="s">
        <v>178</v>
      </c>
      <c r="O12" s="9" t="s">
        <v>293</v>
      </c>
    </row>
    <row r="13" spans="1:15" ht="58" x14ac:dyDescent="0.35">
      <c r="A13" s="15" t="s">
        <v>19</v>
      </c>
      <c r="B13" s="13" t="s">
        <v>281</v>
      </c>
      <c r="C13" s="13" t="s">
        <v>307</v>
      </c>
      <c r="D13" s="51" t="s">
        <v>225</v>
      </c>
      <c r="E13" s="51" t="s">
        <v>225</v>
      </c>
      <c r="F13" s="51"/>
      <c r="G13" s="51"/>
      <c r="H13" s="51"/>
      <c r="I13" s="48"/>
      <c r="J13" s="9" t="s">
        <v>16</v>
      </c>
      <c r="K13" s="46" t="s">
        <v>274</v>
      </c>
      <c r="L13" s="9" t="s">
        <v>218</v>
      </c>
      <c r="M13" s="9" t="s">
        <v>362</v>
      </c>
      <c r="N13" s="9" t="s">
        <v>178</v>
      </c>
      <c r="O13" s="9" t="s">
        <v>293</v>
      </c>
    </row>
    <row r="14" spans="1:15" ht="58" x14ac:dyDescent="0.35">
      <c r="A14" s="15" t="s">
        <v>269</v>
      </c>
      <c r="B14" s="13" t="s">
        <v>184</v>
      </c>
      <c r="C14" s="13" t="s">
        <v>342</v>
      </c>
      <c r="D14" s="51" t="s">
        <v>225</v>
      </c>
      <c r="E14" s="51"/>
      <c r="F14" s="51"/>
      <c r="G14" s="51"/>
      <c r="H14" s="51"/>
      <c r="I14" s="48" t="s">
        <v>293</v>
      </c>
      <c r="J14" s="9" t="s">
        <v>16</v>
      </c>
      <c r="K14" s="46" t="s">
        <v>274</v>
      </c>
      <c r="L14" s="9" t="s">
        <v>218</v>
      </c>
      <c r="M14" s="9" t="s">
        <v>362</v>
      </c>
      <c r="N14" s="9" t="s">
        <v>178</v>
      </c>
      <c r="O14" s="9"/>
    </row>
    <row r="15" spans="1:15" ht="43.5" x14ac:dyDescent="0.35">
      <c r="A15" s="15" t="s">
        <v>23</v>
      </c>
      <c r="B15" s="13" t="s">
        <v>24</v>
      </c>
      <c r="C15" s="13" t="s">
        <v>298</v>
      </c>
      <c r="D15" s="51" t="s">
        <v>225</v>
      </c>
      <c r="E15" s="51"/>
      <c r="F15" s="51"/>
      <c r="G15" s="51"/>
      <c r="H15" s="51" t="s">
        <v>225</v>
      </c>
      <c r="I15" s="48"/>
      <c r="J15" s="9" t="s">
        <v>16</v>
      </c>
      <c r="K15" s="46" t="s">
        <v>274</v>
      </c>
      <c r="L15" s="9" t="s">
        <v>218</v>
      </c>
      <c r="M15" s="9" t="s">
        <v>362</v>
      </c>
      <c r="N15" s="9" t="s">
        <v>178</v>
      </c>
      <c r="O15" s="9" t="s">
        <v>293</v>
      </c>
    </row>
    <row r="16" spans="1:15" ht="43.5" x14ac:dyDescent="0.35">
      <c r="A16" s="15" t="s">
        <v>32</v>
      </c>
      <c r="B16" s="13" t="s">
        <v>33</v>
      </c>
      <c r="C16" s="13" t="s">
        <v>299</v>
      </c>
      <c r="D16" s="51" t="s">
        <v>225</v>
      </c>
      <c r="E16" s="51"/>
      <c r="F16" s="51"/>
      <c r="G16" s="51"/>
      <c r="H16" s="51"/>
      <c r="I16" s="48"/>
      <c r="J16" s="9" t="s">
        <v>28</v>
      </c>
      <c r="K16" s="46" t="s">
        <v>274</v>
      </c>
      <c r="L16" s="9" t="s">
        <v>226</v>
      </c>
      <c r="M16" s="9" t="s">
        <v>362</v>
      </c>
      <c r="N16" s="9" t="s">
        <v>178</v>
      </c>
      <c r="O16" s="9"/>
    </row>
    <row r="17" spans="1:16" ht="67" customHeight="1" x14ac:dyDescent="0.35">
      <c r="A17" s="15" t="s">
        <v>30</v>
      </c>
      <c r="B17" s="13" t="s">
        <v>31</v>
      </c>
      <c r="C17" s="13" t="s">
        <v>299</v>
      </c>
      <c r="D17" s="51" t="s">
        <v>225</v>
      </c>
      <c r="E17" s="51"/>
      <c r="F17" s="51"/>
      <c r="G17" s="51"/>
      <c r="H17" s="51"/>
      <c r="I17" s="48"/>
      <c r="J17" s="9" t="s">
        <v>28</v>
      </c>
      <c r="K17" s="46" t="s">
        <v>274</v>
      </c>
      <c r="L17" s="9" t="s">
        <v>226</v>
      </c>
      <c r="M17" s="9" t="s">
        <v>362</v>
      </c>
      <c r="N17" s="9" t="s">
        <v>178</v>
      </c>
      <c r="O17" s="9"/>
    </row>
    <row r="18" spans="1:16" ht="67" customHeight="1" x14ac:dyDescent="0.35">
      <c r="A18" s="15" t="s">
        <v>34</v>
      </c>
      <c r="B18" s="13" t="s">
        <v>35</v>
      </c>
      <c r="C18" s="13" t="s">
        <v>300</v>
      </c>
      <c r="D18" s="51" t="s">
        <v>225</v>
      </c>
      <c r="E18" s="51"/>
      <c r="F18" s="51" t="s">
        <v>225</v>
      </c>
      <c r="G18" s="51"/>
      <c r="H18" s="51" t="s">
        <v>225</v>
      </c>
      <c r="I18" s="48"/>
      <c r="J18" s="9" t="s">
        <v>16</v>
      </c>
      <c r="K18" s="46" t="s">
        <v>274</v>
      </c>
      <c r="L18" s="9" t="s">
        <v>226</v>
      </c>
      <c r="M18" s="9" t="s">
        <v>362</v>
      </c>
      <c r="N18" s="9" t="s">
        <v>178</v>
      </c>
      <c r="O18" s="9" t="s">
        <v>293</v>
      </c>
    </row>
    <row r="19" spans="1:16" ht="58" x14ac:dyDescent="0.35">
      <c r="A19" s="15" t="s">
        <v>176</v>
      </c>
      <c r="B19" s="13" t="s">
        <v>287</v>
      </c>
      <c r="C19" s="13" t="s">
        <v>340</v>
      </c>
      <c r="D19" s="51" t="s">
        <v>225</v>
      </c>
      <c r="E19" s="51"/>
      <c r="F19" s="51"/>
      <c r="G19" s="51"/>
      <c r="H19" s="51"/>
      <c r="I19" s="48"/>
      <c r="J19" s="9" t="s">
        <v>16</v>
      </c>
      <c r="K19" s="46" t="s">
        <v>274</v>
      </c>
      <c r="L19" s="9" t="s">
        <v>218</v>
      </c>
      <c r="M19" s="9" t="s">
        <v>362</v>
      </c>
      <c r="N19" s="9" t="s">
        <v>178</v>
      </c>
      <c r="O19" s="9" t="s">
        <v>293</v>
      </c>
    </row>
    <row r="20" spans="1:16" ht="43.5" x14ac:dyDescent="0.35">
      <c r="A20" s="15" t="s">
        <v>25</v>
      </c>
      <c r="B20" s="13" t="s">
        <v>26</v>
      </c>
      <c r="C20" s="13" t="s">
        <v>299</v>
      </c>
      <c r="D20" s="51" t="s">
        <v>225</v>
      </c>
      <c r="E20" s="51"/>
      <c r="F20" s="51"/>
      <c r="G20" s="51"/>
      <c r="H20" s="51"/>
      <c r="I20" s="48"/>
      <c r="J20" s="9" t="s">
        <v>28</v>
      </c>
      <c r="K20" s="46" t="s">
        <v>274</v>
      </c>
      <c r="L20" s="9" t="s">
        <v>226</v>
      </c>
      <c r="M20" s="9" t="s">
        <v>362</v>
      </c>
      <c r="N20" s="9" t="s">
        <v>178</v>
      </c>
      <c r="O20" s="9"/>
    </row>
    <row r="21" spans="1:16" ht="89.5" customHeight="1" x14ac:dyDescent="0.35">
      <c r="A21" s="15" t="s">
        <v>268</v>
      </c>
      <c r="B21" s="13" t="s">
        <v>286</v>
      </c>
      <c r="C21" s="13" t="s">
        <v>342</v>
      </c>
      <c r="D21" s="51" t="s">
        <v>225</v>
      </c>
      <c r="E21" s="51"/>
      <c r="F21" s="51"/>
      <c r="G21" s="51"/>
      <c r="H21" s="51"/>
      <c r="I21" s="48" t="s">
        <v>293</v>
      </c>
      <c r="J21" s="9" t="s">
        <v>16</v>
      </c>
      <c r="K21" s="46" t="s">
        <v>274</v>
      </c>
      <c r="L21" s="9" t="s">
        <v>218</v>
      </c>
      <c r="M21" s="9" t="s">
        <v>362</v>
      </c>
      <c r="N21" s="9" t="s">
        <v>178</v>
      </c>
      <c r="O21" s="9"/>
      <c r="P21" s="40"/>
    </row>
    <row r="22" spans="1:16" ht="92" customHeight="1" x14ac:dyDescent="0.35">
      <c r="A22" s="15" t="s">
        <v>270</v>
      </c>
      <c r="B22" s="15" t="s">
        <v>186</v>
      </c>
      <c r="C22" s="13" t="s">
        <v>343</v>
      </c>
      <c r="D22" s="51" t="s">
        <v>225</v>
      </c>
      <c r="E22" s="51" t="s">
        <v>225</v>
      </c>
      <c r="F22" s="51" t="s">
        <v>225</v>
      </c>
      <c r="G22" s="51"/>
      <c r="H22" s="51"/>
      <c r="I22" s="48" t="s">
        <v>293</v>
      </c>
      <c r="J22" s="9" t="s">
        <v>16</v>
      </c>
      <c r="K22" s="45" t="s">
        <v>273</v>
      </c>
      <c r="L22" s="9" t="s">
        <v>218</v>
      </c>
      <c r="M22" s="9" t="s">
        <v>362</v>
      </c>
      <c r="N22" s="9" t="s">
        <v>178</v>
      </c>
      <c r="O22" s="9"/>
    </row>
    <row r="23" spans="1:16" ht="87.5" customHeight="1" x14ac:dyDescent="0.35">
      <c r="A23" s="15" t="s">
        <v>291</v>
      </c>
      <c r="B23" s="13" t="s">
        <v>292</v>
      </c>
      <c r="C23" s="13" t="s">
        <v>301</v>
      </c>
      <c r="D23" s="51" t="s">
        <v>225</v>
      </c>
      <c r="E23" s="51"/>
      <c r="F23" s="51" t="s">
        <v>225</v>
      </c>
      <c r="G23" s="51" t="s">
        <v>225</v>
      </c>
      <c r="H23" s="51" t="s">
        <v>225</v>
      </c>
      <c r="I23" s="48" t="s">
        <v>293</v>
      </c>
      <c r="J23" s="9" t="s">
        <v>16</v>
      </c>
      <c r="K23" s="45" t="s">
        <v>273</v>
      </c>
      <c r="L23" s="9" t="s">
        <v>218</v>
      </c>
      <c r="M23" s="9" t="s">
        <v>361</v>
      </c>
      <c r="N23" s="9" t="s">
        <v>178</v>
      </c>
      <c r="O23" s="9"/>
    </row>
    <row r="24" spans="1:16" ht="87" x14ac:dyDescent="0.35">
      <c r="A24" s="15" t="s">
        <v>127</v>
      </c>
      <c r="B24" s="13" t="s">
        <v>284</v>
      </c>
      <c r="C24" s="13" t="s">
        <v>373</v>
      </c>
      <c r="D24" s="51" t="s">
        <v>225</v>
      </c>
      <c r="E24" s="51" t="s">
        <v>225</v>
      </c>
      <c r="F24" s="51" t="s">
        <v>225</v>
      </c>
      <c r="G24" s="51" t="s">
        <v>225</v>
      </c>
      <c r="H24" s="51" t="s">
        <v>225</v>
      </c>
      <c r="I24" s="48"/>
      <c r="J24" s="9" t="s">
        <v>73</v>
      </c>
      <c r="K24" s="47" t="s">
        <v>275</v>
      </c>
      <c r="L24" s="9" t="s">
        <v>219</v>
      </c>
      <c r="M24" s="9" t="s">
        <v>361</v>
      </c>
      <c r="N24" s="9" t="s">
        <v>129</v>
      </c>
      <c r="O24" s="9" t="s">
        <v>293</v>
      </c>
    </row>
    <row r="25" spans="1:16" ht="43.5" x14ac:dyDescent="0.35">
      <c r="A25" s="15" t="s">
        <v>145</v>
      </c>
      <c r="B25" s="13" t="s">
        <v>146</v>
      </c>
      <c r="C25" s="13" t="s">
        <v>331</v>
      </c>
      <c r="D25" s="51"/>
      <c r="E25" s="51" t="s">
        <v>225</v>
      </c>
      <c r="F25" s="51" t="s">
        <v>225</v>
      </c>
      <c r="G25" s="51" t="s">
        <v>225</v>
      </c>
      <c r="H25" s="51" t="s">
        <v>225</v>
      </c>
      <c r="I25" s="48"/>
      <c r="J25" s="9" t="s">
        <v>73</v>
      </c>
      <c r="K25" s="47" t="s">
        <v>275</v>
      </c>
      <c r="L25" s="9" t="s">
        <v>218</v>
      </c>
      <c r="M25" s="9" t="s">
        <v>361</v>
      </c>
      <c r="N25" s="9" t="s">
        <v>129</v>
      </c>
      <c r="O25" s="9"/>
    </row>
    <row r="26" spans="1:16" ht="58" x14ac:dyDescent="0.35">
      <c r="A26" s="15" t="s">
        <v>136</v>
      </c>
      <c r="B26" s="13" t="s">
        <v>137</v>
      </c>
      <c r="C26" s="13" t="s">
        <v>327</v>
      </c>
      <c r="D26" s="51"/>
      <c r="E26" s="51" t="s">
        <v>225</v>
      </c>
      <c r="F26" s="51" t="s">
        <v>225</v>
      </c>
      <c r="G26" s="51" t="s">
        <v>225</v>
      </c>
      <c r="H26" s="51" t="s">
        <v>225</v>
      </c>
      <c r="I26" s="48"/>
      <c r="J26" s="9" t="s">
        <v>73</v>
      </c>
      <c r="K26" s="46" t="s">
        <v>274</v>
      </c>
      <c r="L26" s="9" t="s">
        <v>226</v>
      </c>
      <c r="M26" s="9" t="s">
        <v>361</v>
      </c>
      <c r="N26" s="9" t="s">
        <v>129</v>
      </c>
      <c r="O26" s="9"/>
    </row>
    <row r="27" spans="1:16" ht="43.5" x14ac:dyDescent="0.35">
      <c r="A27" s="15" t="s">
        <v>142</v>
      </c>
      <c r="B27" s="13" t="s">
        <v>285</v>
      </c>
      <c r="C27" s="13" t="s">
        <v>329</v>
      </c>
      <c r="D27" s="51"/>
      <c r="E27" s="51"/>
      <c r="F27" s="51" t="s">
        <v>225</v>
      </c>
      <c r="G27" s="51" t="s">
        <v>225</v>
      </c>
      <c r="H27" s="51"/>
      <c r="I27" s="48"/>
      <c r="J27" s="9" t="s">
        <v>73</v>
      </c>
      <c r="K27" s="46" t="s">
        <v>274</v>
      </c>
      <c r="L27" s="9" t="s">
        <v>219</v>
      </c>
      <c r="M27" s="9" t="s">
        <v>361</v>
      </c>
      <c r="N27" s="9" t="s">
        <v>129</v>
      </c>
      <c r="O27" s="9"/>
    </row>
    <row r="28" spans="1:16" ht="29" x14ac:dyDescent="0.35">
      <c r="A28" s="15" t="s">
        <v>152</v>
      </c>
      <c r="B28" s="13" t="s">
        <v>153</v>
      </c>
      <c r="C28" s="13" t="s">
        <v>322</v>
      </c>
      <c r="D28" s="51"/>
      <c r="E28" s="51" t="s">
        <v>225</v>
      </c>
      <c r="F28" s="51" t="s">
        <v>225</v>
      </c>
      <c r="G28" s="51" t="s">
        <v>225</v>
      </c>
      <c r="H28" s="51" t="s">
        <v>225</v>
      </c>
      <c r="I28" s="48"/>
      <c r="J28" s="9" t="s">
        <v>73</v>
      </c>
      <c r="K28" s="46" t="s">
        <v>274</v>
      </c>
      <c r="L28" s="9" t="s">
        <v>218</v>
      </c>
      <c r="M28" s="9" t="s">
        <v>361</v>
      </c>
      <c r="N28" s="9" t="s">
        <v>129</v>
      </c>
      <c r="O28" s="9"/>
    </row>
    <row r="29" spans="1:16" ht="29" x14ac:dyDescent="0.35">
      <c r="A29" s="15" t="s">
        <v>150</v>
      </c>
      <c r="B29" s="13" t="s">
        <v>151</v>
      </c>
      <c r="C29" s="13" t="s">
        <v>333</v>
      </c>
      <c r="D29" s="51"/>
      <c r="E29" s="51" t="s">
        <v>225</v>
      </c>
      <c r="F29" s="51" t="s">
        <v>225</v>
      </c>
      <c r="G29" s="51" t="s">
        <v>225</v>
      </c>
      <c r="H29" s="51" t="s">
        <v>225</v>
      </c>
      <c r="I29" s="48"/>
      <c r="J29" s="9" t="s">
        <v>73</v>
      </c>
      <c r="K29" s="46" t="s">
        <v>274</v>
      </c>
      <c r="L29" s="9" t="s">
        <v>218</v>
      </c>
      <c r="M29" s="9" t="s">
        <v>361</v>
      </c>
      <c r="N29" s="9" t="s">
        <v>129</v>
      </c>
      <c r="O29" s="9"/>
    </row>
    <row r="30" spans="1:16" ht="58" x14ac:dyDescent="0.35">
      <c r="A30" s="15" t="s">
        <v>156</v>
      </c>
      <c r="B30" s="13" t="s">
        <v>157</v>
      </c>
      <c r="C30" s="13" t="s">
        <v>303</v>
      </c>
      <c r="D30" s="51" t="s">
        <v>225</v>
      </c>
      <c r="E30" s="51" t="s">
        <v>225</v>
      </c>
      <c r="F30" s="51" t="s">
        <v>225</v>
      </c>
      <c r="G30" s="51" t="s">
        <v>225</v>
      </c>
      <c r="H30" s="51" t="s">
        <v>225</v>
      </c>
      <c r="I30" s="48"/>
      <c r="J30" s="9" t="s">
        <v>16</v>
      </c>
      <c r="K30" s="46" t="s">
        <v>274</v>
      </c>
      <c r="L30" s="9" t="s">
        <v>218</v>
      </c>
      <c r="M30" s="9" t="s">
        <v>362</v>
      </c>
      <c r="N30" s="9" t="s">
        <v>129</v>
      </c>
      <c r="O30" s="9"/>
    </row>
    <row r="31" spans="1:16" ht="87" x14ac:dyDescent="0.35">
      <c r="A31" s="15" t="s">
        <v>130</v>
      </c>
      <c r="B31" s="13" t="s">
        <v>131</v>
      </c>
      <c r="C31" s="13" t="s">
        <v>374</v>
      </c>
      <c r="D31" s="51" t="s">
        <v>225</v>
      </c>
      <c r="E31" s="51" t="s">
        <v>225</v>
      </c>
      <c r="F31" s="51" t="s">
        <v>225</v>
      </c>
      <c r="G31" s="51" t="s">
        <v>225</v>
      </c>
      <c r="H31" s="51" t="s">
        <v>225</v>
      </c>
      <c r="I31" s="48"/>
      <c r="J31" s="9" t="s">
        <v>73</v>
      </c>
      <c r="K31" s="46" t="s">
        <v>274</v>
      </c>
      <c r="L31" s="9" t="s">
        <v>219</v>
      </c>
      <c r="M31" s="9" t="s">
        <v>361</v>
      </c>
      <c r="N31" s="9" t="s">
        <v>129</v>
      </c>
      <c r="O31" s="9" t="s">
        <v>293</v>
      </c>
    </row>
    <row r="32" spans="1:16" ht="103" customHeight="1" x14ac:dyDescent="0.35">
      <c r="A32" s="15" t="s">
        <v>140</v>
      </c>
      <c r="B32" s="13" t="s">
        <v>141</v>
      </c>
      <c r="C32" s="13" t="s">
        <v>330</v>
      </c>
      <c r="D32" s="51" t="s">
        <v>225</v>
      </c>
      <c r="E32" s="51"/>
      <c r="F32" s="51" t="s">
        <v>225</v>
      </c>
      <c r="G32" s="51" t="s">
        <v>225</v>
      </c>
      <c r="H32" s="51"/>
      <c r="I32" s="48" t="s">
        <v>293</v>
      </c>
      <c r="J32" s="9" t="s">
        <v>46</v>
      </c>
      <c r="K32" s="46" t="s">
        <v>274</v>
      </c>
      <c r="L32" s="9" t="s">
        <v>226</v>
      </c>
      <c r="M32" s="9" t="s">
        <v>361</v>
      </c>
      <c r="N32" s="9" t="s">
        <v>129</v>
      </c>
      <c r="O32" s="9" t="s">
        <v>293</v>
      </c>
    </row>
    <row r="33" spans="1:15" ht="105" customHeight="1" x14ac:dyDescent="0.35">
      <c r="A33" s="15" t="s">
        <v>158</v>
      </c>
      <c r="B33" s="13" t="s">
        <v>159</v>
      </c>
      <c r="C33" s="13" t="s">
        <v>334</v>
      </c>
      <c r="D33" s="51"/>
      <c r="E33" s="51"/>
      <c r="F33" s="51" t="s">
        <v>225</v>
      </c>
      <c r="G33" s="51" t="s">
        <v>225</v>
      </c>
      <c r="H33" s="51"/>
      <c r="I33" s="48" t="s">
        <v>293</v>
      </c>
      <c r="J33" s="9" t="s">
        <v>46</v>
      </c>
      <c r="K33" s="46" t="s">
        <v>274</v>
      </c>
      <c r="L33" s="9" t="s">
        <v>218</v>
      </c>
      <c r="M33" s="9" t="s">
        <v>361</v>
      </c>
      <c r="N33" s="9" t="s">
        <v>129</v>
      </c>
      <c r="O33" s="9"/>
    </row>
    <row r="34" spans="1:15" ht="43.5" x14ac:dyDescent="0.35">
      <c r="A34" s="15" t="s">
        <v>138</v>
      </c>
      <c r="B34" s="13" t="s">
        <v>139</v>
      </c>
      <c r="C34" s="13" t="s">
        <v>328</v>
      </c>
      <c r="D34" s="51"/>
      <c r="E34" s="51" t="s">
        <v>225</v>
      </c>
      <c r="F34" s="51" t="s">
        <v>225</v>
      </c>
      <c r="G34" s="51" t="s">
        <v>225</v>
      </c>
      <c r="H34" s="51" t="s">
        <v>225</v>
      </c>
      <c r="I34" s="48"/>
      <c r="J34" s="9" t="s">
        <v>73</v>
      </c>
      <c r="K34" s="46" t="s">
        <v>274</v>
      </c>
      <c r="L34" s="9" t="s">
        <v>226</v>
      </c>
      <c r="M34" s="9" t="s">
        <v>361</v>
      </c>
      <c r="N34" s="9" t="s">
        <v>129</v>
      </c>
      <c r="O34" s="9"/>
    </row>
    <row r="35" spans="1:15" ht="42.5" customHeight="1" x14ac:dyDescent="0.35">
      <c r="A35" s="15" t="s">
        <v>132</v>
      </c>
      <c r="B35" s="13" t="s">
        <v>133</v>
      </c>
      <c r="C35" s="13" t="s">
        <v>325</v>
      </c>
      <c r="D35" s="51" t="s">
        <v>225</v>
      </c>
      <c r="E35" s="51" t="s">
        <v>225</v>
      </c>
      <c r="F35" s="51" t="s">
        <v>225</v>
      </c>
      <c r="G35" s="51" t="s">
        <v>225</v>
      </c>
      <c r="H35" s="51" t="s">
        <v>225</v>
      </c>
      <c r="I35" s="48"/>
      <c r="J35" s="9" t="s">
        <v>73</v>
      </c>
      <c r="K35" s="45" t="s">
        <v>273</v>
      </c>
      <c r="L35" s="9" t="s">
        <v>219</v>
      </c>
      <c r="M35" s="9" t="s">
        <v>361</v>
      </c>
      <c r="N35" s="9" t="s">
        <v>129</v>
      </c>
      <c r="O35" s="9" t="s">
        <v>293</v>
      </c>
    </row>
    <row r="36" spans="1:15" ht="29" x14ac:dyDescent="0.35">
      <c r="A36" s="15" t="s">
        <v>154</v>
      </c>
      <c r="B36" s="13" t="s">
        <v>155</v>
      </c>
      <c r="C36" s="13" t="s">
        <v>324</v>
      </c>
      <c r="D36" s="51"/>
      <c r="E36" s="51" t="s">
        <v>225</v>
      </c>
      <c r="F36" s="51" t="s">
        <v>225</v>
      </c>
      <c r="G36" s="51" t="s">
        <v>225</v>
      </c>
      <c r="H36" s="51" t="s">
        <v>225</v>
      </c>
      <c r="I36" s="48"/>
      <c r="J36" s="9" t="s">
        <v>73</v>
      </c>
      <c r="K36" s="45" t="s">
        <v>273</v>
      </c>
      <c r="L36" s="9" t="s">
        <v>218</v>
      </c>
      <c r="M36" s="9" t="s">
        <v>361</v>
      </c>
      <c r="N36" s="9" t="s">
        <v>129</v>
      </c>
      <c r="O36" s="9"/>
    </row>
    <row r="37" spans="1:15" ht="43.5" x14ac:dyDescent="0.35">
      <c r="A37" s="15" t="s">
        <v>148</v>
      </c>
      <c r="B37" s="13" t="s">
        <v>149</v>
      </c>
      <c r="C37" s="13" t="s">
        <v>332</v>
      </c>
      <c r="D37" s="51"/>
      <c r="E37" s="51" t="s">
        <v>225</v>
      </c>
      <c r="F37" s="51" t="s">
        <v>225</v>
      </c>
      <c r="G37" s="51"/>
      <c r="H37" s="51" t="s">
        <v>225</v>
      </c>
      <c r="I37" s="48" t="s">
        <v>293</v>
      </c>
      <c r="J37" s="9" t="s">
        <v>73</v>
      </c>
      <c r="K37" s="45" t="s">
        <v>273</v>
      </c>
      <c r="L37" s="9" t="s">
        <v>218</v>
      </c>
      <c r="M37" s="9" t="s">
        <v>362</v>
      </c>
      <c r="N37" s="9" t="s">
        <v>129</v>
      </c>
      <c r="O37" s="9"/>
    </row>
    <row r="38" spans="1:15" ht="72.5" x14ac:dyDescent="0.35">
      <c r="A38" s="15" t="s">
        <v>264</v>
      </c>
      <c r="B38" s="13" t="s">
        <v>110</v>
      </c>
      <c r="C38" s="13" t="s">
        <v>320</v>
      </c>
      <c r="D38" s="51"/>
      <c r="E38" s="51" t="s">
        <v>225</v>
      </c>
      <c r="F38" s="51"/>
      <c r="G38" s="51"/>
      <c r="H38" s="51"/>
      <c r="I38" s="48"/>
      <c r="J38" s="9" t="s">
        <v>46</v>
      </c>
      <c r="K38" s="47" t="s">
        <v>275</v>
      </c>
      <c r="L38" s="9" t="s">
        <v>218</v>
      </c>
      <c r="M38" s="9" t="s">
        <v>361</v>
      </c>
      <c r="N38" s="9" t="s">
        <v>104</v>
      </c>
      <c r="O38" s="9"/>
    </row>
    <row r="39" spans="1:15" ht="29" x14ac:dyDescent="0.35">
      <c r="A39" s="15" t="s">
        <v>120</v>
      </c>
      <c r="B39" s="13" t="s">
        <v>121</v>
      </c>
      <c r="C39" s="13" t="s">
        <v>323</v>
      </c>
      <c r="D39" s="51"/>
      <c r="E39" s="51" t="s">
        <v>225</v>
      </c>
      <c r="F39" s="51" t="s">
        <v>225</v>
      </c>
      <c r="G39" s="51"/>
      <c r="H39" s="51"/>
      <c r="I39" s="48"/>
      <c r="J39" s="9" t="s">
        <v>73</v>
      </c>
      <c r="K39" s="46" t="s">
        <v>274</v>
      </c>
      <c r="L39" s="9" t="s">
        <v>226</v>
      </c>
      <c r="M39" s="9" t="s">
        <v>361</v>
      </c>
      <c r="N39" s="9" t="s">
        <v>104</v>
      </c>
      <c r="O39" s="9"/>
    </row>
    <row r="40" spans="1:15" ht="43.5" x14ac:dyDescent="0.35">
      <c r="A40" s="15" t="s">
        <v>265</v>
      </c>
      <c r="B40" s="13" t="s">
        <v>113</v>
      </c>
      <c r="C40" s="13" t="s">
        <v>321</v>
      </c>
      <c r="D40" s="51"/>
      <c r="E40" s="51" t="s">
        <v>225</v>
      </c>
      <c r="F40" s="51"/>
      <c r="G40" s="51"/>
      <c r="H40" s="51"/>
      <c r="I40" s="48" t="s">
        <v>293</v>
      </c>
      <c r="J40" s="9" t="s">
        <v>73</v>
      </c>
      <c r="K40" s="46" t="s">
        <v>274</v>
      </c>
      <c r="L40" s="9" t="s">
        <v>218</v>
      </c>
      <c r="M40" s="9" t="s">
        <v>361</v>
      </c>
      <c r="N40" s="9" t="s">
        <v>104</v>
      </c>
      <c r="O40" s="9"/>
    </row>
    <row r="41" spans="1:15" ht="29" x14ac:dyDescent="0.35">
      <c r="A41" s="15" t="s">
        <v>102</v>
      </c>
      <c r="B41" s="13" t="s">
        <v>103</v>
      </c>
      <c r="C41" s="13" t="s">
        <v>319</v>
      </c>
      <c r="D41" s="51"/>
      <c r="E41" s="51" t="s">
        <v>225</v>
      </c>
      <c r="F41" s="51"/>
      <c r="G41" s="51"/>
      <c r="H41" s="51"/>
      <c r="I41" s="48" t="s">
        <v>293</v>
      </c>
      <c r="J41" s="9" t="s">
        <v>46</v>
      </c>
      <c r="K41" s="46" t="s">
        <v>274</v>
      </c>
      <c r="L41" s="9" t="s">
        <v>218</v>
      </c>
      <c r="M41" s="9" t="s">
        <v>361</v>
      </c>
      <c r="N41" s="9" t="s">
        <v>104</v>
      </c>
      <c r="O41" s="9" t="s">
        <v>293</v>
      </c>
    </row>
    <row r="42" spans="1:15" ht="43.5" x14ac:dyDescent="0.35">
      <c r="A42" s="15" t="s">
        <v>107</v>
      </c>
      <c r="B42" s="13" t="s">
        <v>108</v>
      </c>
      <c r="C42" s="13" t="s">
        <v>322</v>
      </c>
      <c r="D42" s="51"/>
      <c r="E42" s="51" t="s">
        <v>225</v>
      </c>
      <c r="F42" s="51"/>
      <c r="G42" s="51"/>
      <c r="H42" s="51"/>
      <c r="I42" s="48" t="s">
        <v>293</v>
      </c>
      <c r="J42" s="9" t="s">
        <v>73</v>
      </c>
      <c r="K42" s="45" t="s">
        <v>273</v>
      </c>
      <c r="L42" s="9" t="s">
        <v>218</v>
      </c>
      <c r="M42" s="9" t="s">
        <v>361</v>
      </c>
      <c r="N42" s="9" t="s">
        <v>104</v>
      </c>
      <c r="O42" s="9"/>
    </row>
    <row r="43" spans="1:15" ht="29" x14ac:dyDescent="0.35">
      <c r="A43" s="15" t="s">
        <v>114</v>
      </c>
      <c r="B43" s="13" t="s">
        <v>115</v>
      </c>
      <c r="C43" s="13" t="s">
        <v>322</v>
      </c>
      <c r="D43" s="51"/>
      <c r="E43" s="51" t="s">
        <v>225</v>
      </c>
      <c r="F43" s="51"/>
      <c r="G43" s="51"/>
      <c r="H43" s="51"/>
      <c r="I43" s="48" t="s">
        <v>293</v>
      </c>
      <c r="J43" s="9" t="s">
        <v>73</v>
      </c>
      <c r="K43" s="45" t="s">
        <v>273</v>
      </c>
      <c r="L43" s="9" t="s">
        <v>218</v>
      </c>
      <c r="M43" s="9" t="s">
        <v>361</v>
      </c>
      <c r="N43" s="9" t="s">
        <v>104</v>
      </c>
      <c r="O43" s="9"/>
    </row>
    <row r="44" spans="1:15" ht="29" x14ac:dyDescent="0.35">
      <c r="A44" s="15" t="s">
        <v>105</v>
      </c>
      <c r="B44" s="13" t="s">
        <v>106</v>
      </c>
      <c r="C44" s="13" t="s">
        <v>322</v>
      </c>
      <c r="D44" s="51"/>
      <c r="E44" s="51" t="s">
        <v>225</v>
      </c>
      <c r="F44" s="51"/>
      <c r="G44" s="51"/>
      <c r="H44" s="51"/>
      <c r="I44" s="48" t="s">
        <v>293</v>
      </c>
      <c r="J44" s="9" t="s">
        <v>73</v>
      </c>
      <c r="K44" s="45" t="s">
        <v>273</v>
      </c>
      <c r="L44" s="9" t="s">
        <v>218</v>
      </c>
      <c r="M44" s="9" t="s">
        <v>361</v>
      </c>
      <c r="N44" s="9" t="s">
        <v>104</v>
      </c>
      <c r="O44" s="9"/>
    </row>
    <row r="45" spans="1:15" ht="73" customHeight="1" x14ac:dyDescent="0.35">
      <c r="A45" s="15" t="s">
        <v>118</v>
      </c>
      <c r="B45" s="13" t="s">
        <v>119</v>
      </c>
      <c r="C45" s="13" t="s">
        <v>322</v>
      </c>
      <c r="D45" s="51"/>
      <c r="E45" s="51" t="s">
        <v>225</v>
      </c>
      <c r="F45" s="51" t="s">
        <v>225</v>
      </c>
      <c r="G45" s="51"/>
      <c r="H45" s="51"/>
      <c r="I45" s="48" t="s">
        <v>293</v>
      </c>
      <c r="J45" s="9" t="s">
        <v>73</v>
      </c>
      <c r="K45" s="45" t="s">
        <v>273</v>
      </c>
      <c r="L45" s="9" t="s">
        <v>218</v>
      </c>
      <c r="M45" s="9" t="s">
        <v>361</v>
      </c>
      <c r="N45" s="9" t="s">
        <v>104</v>
      </c>
      <c r="O45" s="9"/>
    </row>
    <row r="46" spans="1:15" ht="38" customHeight="1" x14ac:dyDescent="0.35">
      <c r="A46" s="15" t="s">
        <v>116</v>
      </c>
      <c r="B46" s="13" t="s">
        <v>117</v>
      </c>
      <c r="C46" s="13" t="s">
        <v>322</v>
      </c>
      <c r="D46" s="51"/>
      <c r="E46" s="51" t="s">
        <v>225</v>
      </c>
      <c r="F46" s="51"/>
      <c r="G46" s="51"/>
      <c r="H46" s="51"/>
      <c r="I46" s="48" t="s">
        <v>293</v>
      </c>
      <c r="J46" s="9" t="s">
        <v>73</v>
      </c>
      <c r="K46" s="45" t="s">
        <v>273</v>
      </c>
      <c r="L46" s="9" t="s">
        <v>218</v>
      </c>
      <c r="M46" s="9" t="s">
        <v>361</v>
      </c>
      <c r="N46" s="9" t="s">
        <v>104</v>
      </c>
      <c r="O46" s="9"/>
    </row>
    <row r="47" spans="1:15" ht="43.5" x14ac:dyDescent="0.35">
      <c r="A47" s="15" t="s">
        <v>125</v>
      </c>
      <c r="B47" s="13" t="s">
        <v>371</v>
      </c>
      <c r="C47" s="13" t="s">
        <v>324</v>
      </c>
      <c r="D47" s="51"/>
      <c r="E47" s="51" t="s">
        <v>225</v>
      </c>
      <c r="F47" s="51" t="s">
        <v>225</v>
      </c>
      <c r="G47" s="51"/>
      <c r="H47" s="51"/>
      <c r="I47" s="48" t="s">
        <v>293</v>
      </c>
      <c r="J47" s="9" t="s">
        <v>73</v>
      </c>
      <c r="K47" s="45" t="s">
        <v>273</v>
      </c>
      <c r="L47" s="9" t="s">
        <v>226</v>
      </c>
      <c r="M47" s="9" t="s">
        <v>361</v>
      </c>
      <c r="N47" s="9" t="s">
        <v>104</v>
      </c>
      <c r="O47" s="9"/>
    </row>
    <row r="48" spans="1:15" ht="58" x14ac:dyDescent="0.35">
      <c r="A48" s="15" t="s">
        <v>122</v>
      </c>
      <c r="B48" s="13" t="s">
        <v>370</v>
      </c>
      <c r="C48" s="13" t="s">
        <v>324</v>
      </c>
      <c r="D48" s="51"/>
      <c r="E48" s="51" t="s">
        <v>225</v>
      </c>
      <c r="F48" s="51" t="s">
        <v>225</v>
      </c>
      <c r="G48" s="51" t="s">
        <v>225</v>
      </c>
      <c r="H48" s="51"/>
      <c r="I48" s="48" t="s">
        <v>293</v>
      </c>
      <c r="J48" s="9" t="s">
        <v>73</v>
      </c>
      <c r="K48" s="45" t="s">
        <v>273</v>
      </c>
      <c r="L48" s="9" t="s">
        <v>226</v>
      </c>
      <c r="M48" s="9" t="s">
        <v>361</v>
      </c>
      <c r="N48" s="9" t="s">
        <v>104</v>
      </c>
      <c r="O48" s="9"/>
    </row>
    <row r="49" spans="1:15" ht="72.5" customHeight="1" x14ac:dyDescent="0.35">
      <c r="A49" s="15" t="s">
        <v>98</v>
      </c>
      <c r="B49" s="13" t="s">
        <v>99</v>
      </c>
      <c r="C49" s="13" t="s">
        <v>317</v>
      </c>
      <c r="D49" s="51"/>
      <c r="E49" s="51"/>
      <c r="F49" s="51" t="s">
        <v>225</v>
      </c>
      <c r="G49" s="51"/>
      <c r="H49" s="51" t="s">
        <v>225</v>
      </c>
      <c r="I49" s="48" t="s">
        <v>293</v>
      </c>
      <c r="J49" s="9" t="s">
        <v>73</v>
      </c>
      <c r="K49" s="46" t="s">
        <v>274</v>
      </c>
      <c r="L49" s="9" t="s">
        <v>219</v>
      </c>
      <c r="M49" s="9" t="s">
        <v>361</v>
      </c>
      <c r="N49" s="9" t="s">
        <v>245</v>
      </c>
      <c r="O49" s="9"/>
    </row>
    <row r="50" spans="1:15" ht="43.5" x14ac:dyDescent="0.35">
      <c r="A50" s="15" t="s">
        <v>206</v>
      </c>
      <c r="B50" s="13" t="s">
        <v>207</v>
      </c>
      <c r="C50" s="13" t="s">
        <v>350</v>
      </c>
      <c r="D50" s="51"/>
      <c r="E50" s="51"/>
      <c r="F50" s="51" t="s">
        <v>225</v>
      </c>
      <c r="G50" s="51" t="s">
        <v>225</v>
      </c>
      <c r="H50" s="51" t="s">
        <v>225</v>
      </c>
      <c r="I50" s="48" t="s">
        <v>293</v>
      </c>
      <c r="J50" s="9" t="s">
        <v>73</v>
      </c>
      <c r="K50" s="46" t="s">
        <v>274</v>
      </c>
      <c r="L50" s="9" t="s">
        <v>226</v>
      </c>
      <c r="M50" s="9" t="s">
        <v>361</v>
      </c>
      <c r="N50" s="9" t="s">
        <v>245</v>
      </c>
      <c r="O50" s="9"/>
    </row>
    <row r="51" spans="1:15" ht="61" customHeight="1" x14ac:dyDescent="0.35">
      <c r="A51" s="15" t="s">
        <v>74</v>
      </c>
      <c r="B51" s="13" t="s">
        <v>75</v>
      </c>
      <c r="C51" s="13" t="s">
        <v>312</v>
      </c>
      <c r="D51" s="51"/>
      <c r="E51" s="51"/>
      <c r="F51" s="51" t="s">
        <v>225</v>
      </c>
      <c r="G51" s="51"/>
      <c r="H51" s="51" t="s">
        <v>225</v>
      </c>
      <c r="I51" s="48" t="s">
        <v>293</v>
      </c>
      <c r="J51" s="9" t="s">
        <v>73</v>
      </c>
      <c r="K51" s="45" t="s">
        <v>273</v>
      </c>
      <c r="L51" s="9" t="s">
        <v>218</v>
      </c>
      <c r="M51" s="9" t="s">
        <v>361</v>
      </c>
      <c r="N51" s="9" t="s">
        <v>245</v>
      </c>
      <c r="O51" s="9"/>
    </row>
    <row r="52" spans="1:15" ht="58" x14ac:dyDescent="0.35">
      <c r="A52" s="15" t="s">
        <v>91</v>
      </c>
      <c r="B52" s="13" t="s">
        <v>92</v>
      </c>
      <c r="C52" s="13" t="s">
        <v>316</v>
      </c>
      <c r="D52" s="51"/>
      <c r="E52" s="51"/>
      <c r="F52" s="51" t="s">
        <v>225</v>
      </c>
      <c r="G52" s="51"/>
      <c r="H52" s="51"/>
      <c r="I52" s="48" t="s">
        <v>293</v>
      </c>
      <c r="J52" s="9" t="s">
        <v>73</v>
      </c>
      <c r="K52" s="45" t="s">
        <v>273</v>
      </c>
      <c r="L52" s="9" t="s">
        <v>226</v>
      </c>
      <c r="M52" s="9" t="s">
        <v>361</v>
      </c>
      <c r="N52" s="9" t="s">
        <v>245</v>
      </c>
      <c r="O52" s="9"/>
    </row>
    <row r="53" spans="1:15" ht="58" x14ac:dyDescent="0.35">
      <c r="A53" s="15" t="s">
        <v>89</v>
      </c>
      <c r="B53" s="13" t="s">
        <v>90</v>
      </c>
      <c r="C53" s="13" t="s">
        <v>316</v>
      </c>
      <c r="D53" s="51"/>
      <c r="E53" s="51"/>
      <c r="F53" s="51" t="s">
        <v>225</v>
      </c>
      <c r="G53" s="51"/>
      <c r="H53" s="51"/>
      <c r="I53" s="48" t="s">
        <v>293</v>
      </c>
      <c r="J53" s="9" t="s">
        <v>73</v>
      </c>
      <c r="K53" s="45" t="s">
        <v>273</v>
      </c>
      <c r="L53" s="9" t="s">
        <v>226</v>
      </c>
      <c r="M53" s="9" t="s">
        <v>361</v>
      </c>
      <c r="N53" s="9" t="s">
        <v>245</v>
      </c>
      <c r="O53" s="9"/>
    </row>
    <row r="54" spans="1:15" ht="29" x14ac:dyDescent="0.35">
      <c r="A54" s="15" t="s">
        <v>70</v>
      </c>
      <c r="B54" s="13" t="s">
        <v>71</v>
      </c>
      <c r="C54" s="13" t="s">
        <v>311</v>
      </c>
      <c r="D54" s="51"/>
      <c r="E54" s="51"/>
      <c r="F54" s="51" t="s">
        <v>225</v>
      </c>
      <c r="G54" s="51"/>
      <c r="H54" s="51"/>
      <c r="I54" s="48" t="s">
        <v>293</v>
      </c>
      <c r="J54" s="9" t="s">
        <v>73</v>
      </c>
      <c r="K54" s="45" t="s">
        <v>273</v>
      </c>
      <c r="L54" s="9" t="s">
        <v>218</v>
      </c>
      <c r="M54" s="9" t="s">
        <v>361</v>
      </c>
      <c r="N54" s="9" t="s">
        <v>245</v>
      </c>
      <c r="O54" s="9"/>
    </row>
    <row r="55" spans="1:15" ht="43.5" x14ac:dyDescent="0.35">
      <c r="A55" s="15" t="s">
        <v>77</v>
      </c>
      <c r="B55" s="13" t="s">
        <v>396</v>
      </c>
      <c r="C55" s="13" t="s">
        <v>312</v>
      </c>
      <c r="D55" s="51"/>
      <c r="E55" s="51"/>
      <c r="F55" s="51" t="s">
        <v>225</v>
      </c>
      <c r="G55" s="51"/>
      <c r="H55" s="51"/>
      <c r="I55" s="48" t="s">
        <v>293</v>
      </c>
      <c r="J55" s="9" t="s">
        <v>73</v>
      </c>
      <c r="K55" s="45" t="s">
        <v>273</v>
      </c>
      <c r="L55" s="9" t="s">
        <v>218</v>
      </c>
      <c r="M55" s="9" t="s">
        <v>361</v>
      </c>
      <c r="N55" s="9" t="s">
        <v>245</v>
      </c>
      <c r="O55" s="9"/>
    </row>
    <row r="56" spans="1:15" ht="58" customHeight="1" x14ac:dyDescent="0.35">
      <c r="A56" s="15" t="s">
        <v>53</v>
      </c>
      <c r="B56" s="13" t="s">
        <v>283</v>
      </c>
      <c r="C56" s="13" t="s">
        <v>357</v>
      </c>
      <c r="D56" s="51" t="s">
        <v>225</v>
      </c>
      <c r="E56" s="51"/>
      <c r="F56" s="51" t="s">
        <v>225</v>
      </c>
      <c r="G56" s="51"/>
      <c r="H56" s="51" t="s">
        <v>225</v>
      </c>
      <c r="I56" s="48"/>
      <c r="J56" s="9" t="s">
        <v>16</v>
      </c>
      <c r="K56" s="47" t="s">
        <v>275</v>
      </c>
      <c r="L56" s="9" t="s">
        <v>218</v>
      </c>
      <c r="M56" s="9" t="s">
        <v>362</v>
      </c>
      <c r="N56" s="9" t="s">
        <v>55</v>
      </c>
      <c r="O56" s="9" t="s">
        <v>293</v>
      </c>
    </row>
    <row r="57" spans="1:15" ht="63" customHeight="1" x14ac:dyDescent="0.35">
      <c r="A57" s="15" t="s">
        <v>261</v>
      </c>
      <c r="B57" s="13" t="s">
        <v>68</v>
      </c>
      <c r="C57" s="13" t="s">
        <v>358</v>
      </c>
      <c r="D57" s="51"/>
      <c r="E57" s="51" t="s">
        <v>225</v>
      </c>
      <c r="F57" s="51" t="s">
        <v>225</v>
      </c>
      <c r="G57" s="51" t="s">
        <v>225</v>
      </c>
      <c r="H57" s="51" t="s">
        <v>225</v>
      </c>
      <c r="I57" s="48"/>
      <c r="J57" s="9" t="s">
        <v>16</v>
      </c>
      <c r="K57" s="47" t="s">
        <v>275</v>
      </c>
      <c r="L57" s="9" t="s">
        <v>226</v>
      </c>
      <c r="M57" s="9" t="s">
        <v>362</v>
      </c>
      <c r="N57" s="9" t="s">
        <v>55</v>
      </c>
      <c r="O57" s="9"/>
    </row>
    <row r="58" spans="1:15" ht="68" customHeight="1" x14ac:dyDescent="0.35">
      <c r="A58" s="15" t="s">
        <v>64</v>
      </c>
      <c r="B58" s="13" t="s">
        <v>65</v>
      </c>
      <c r="C58" s="13" t="s">
        <v>309</v>
      </c>
      <c r="D58" s="51" t="s">
        <v>225</v>
      </c>
      <c r="E58" s="51" t="s">
        <v>225</v>
      </c>
      <c r="F58" s="51" t="s">
        <v>225</v>
      </c>
      <c r="G58" s="51"/>
      <c r="H58" s="51" t="s">
        <v>225</v>
      </c>
      <c r="I58" s="48"/>
      <c r="J58" s="9" t="s">
        <v>16</v>
      </c>
      <c r="K58" s="47" t="s">
        <v>275</v>
      </c>
      <c r="L58" s="9" t="s">
        <v>226</v>
      </c>
      <c r="M58" s="9" t="s">
        <v>362</v>
      </c>
      <c r="N58" s="9" t="s">
        <v>55</v>
      </c>
      <c r="O58" s="9"/>
    </row>
    <row r="59" spans="1:15" ht="43.5" x14ac:dyDescent="0.35">
      <c r="A59" s="15" t="s">
        <v>260</v>
      </c>
      <c r="B59" s="13" t="s">
        <v>59</v>
      </c>
      <c r="C59" s="13" t="s">
        <v>308</v>
      </c>
      <c r="D59" s="51" t="s">
        <v>225</v>
      </c>
      <c r="E59" s="51" t="s">
        <v>225</v>
      </c>
      <c r="F59" s="51" t="s">
        <v>225</v>
      </c>
      <c r="G59" s="51"/>
      <c r="H59" s="51"/>
      <c r="I59" s="48" t="s">
        <v>293</v>
      </c>
      <c r="J59" s="9" t="s">
        <v>16</v>
      </c>
      <c r="K59" s="46" t="s">
        <v>274</v>
      </c>
      <c r="L59" s="9" t="s">
        <v>218</v>
      </c>
      <c r="M59" s="9" t="s">
        <v>362</v>
      </c>
      <c r="N59" s="9" t="s">
        <v>55</v>
      </c>
      <c r="O59" s="9"/>
    </row>
    <row r="60" spans="1:15" ht="43.5" x14ac:dyDescent="0.35">
      <c r="A60" s="15" t="s">
        <v>134</v>
      </c>
      <c r="B60" s="13" t="s">
        <v>135</v>
      </c>
      <c r="C60" s="13" t="s">
        <v>326</v>
      </c>
      <c r="D60" s="51"/>
      <c r="E60" s="51" t="s">
        <v>225</v>
      </c>
      <c r="F60" s="51" t="s">
        <v>225</v>
      </c>
      <c r="G60" s="51" t="s">
        <v>225</v>
      </c>
      <c r="H60" s="51" t="s">
        <v>225</v>
      </c>
      <c r="I60" s="48" t="s">
        <v>293</v>
      </c>
      <c r="J60" s="9" t="s">
        <v>16</v>
      </c>
      <c r="K60" s="46" t="s">
        <v>274</v>
      </c>
      <c r="L60" s="9" t="s">
        <v>219</v>
      </c>
      <c r="M60" s="9" t="s">
        <v>361</v>
      </c>
      <c r="N60" s="9" t="s">
        <v>55</v>
      </c>
      <c r="O60" s="9"/>
    </row>
    <row r="61" spans="1:15" ht="60" customHeight="1" x14ac:dyDescent="0.35">
      <c r="A61" s="15" t="s">
        <v>259</v>
      </c>
      <c r="B61" s="13" t="s">
        <v>66</v>
      </c>
      <c r="C61" s="13" t="s">
        <v>314</v>
      </c>
      <c r="D61" s="51"/>
      <c r="E61" s="51" t="s">
        <v>225</v>
      </c>
      <c r="F61" s="51" t="s">
        <v>225</v>
      </c>
      <c r="G61" s="51"/>
      <c r="H61" s="51"/>
      <c r="I61" s="48" t="s">
        <v>293</v>
      </c>
      <c r="J61" s="9" t="s">
        <v>46</v>
      </c>
      <c r="K61" s="46" t="s">
        <v>274</v>
      </c>
      <c r="L61" s="9" t="s">
        <v>226</v>
      </c>
      <c r="M61" s="9" t="s">
        <v>361</v>
      </c>
      <c r="N61" s="9" t="s">
        <v>55</v>
      </c>
      <c r="O61" s="9" t="s">
        <v>293</v>
      </c>
    </row>
    <row r="62" spans="1:15" ht="43.5" x14ac:dyDescent="0.35">
      <c r="A62" s="15" t="s">
        <v>62</v>
      </c>
      <c r="B62" s="13" t="s">
        <v>63</v>
      </c>
      <c r="C62" s="13" t="s">
        <v>310</v>
      </c>
      <c r="D62" s="51" t="s">
        <v>225</v>
      </c>
      <c r="E62" s="51" t="s">
        <v>225</v>
      </c>
      <c r="F62" s="51" t="s">
        <v>225</v>
      </c>
      <c r="G62" s="51" t="s">
        <v>225</v>
      </c>
      <c r="H62" s="51" t="s">
        <v>225</v>
      </c>
      <c r="I62" s="48" t="s">
        <v>293</v>
      </c>
      <c r="J62" s="9" t="s">
        <v>16</v>
      </c>
      <c r="K62" s="46" t="s">
        <v>274</v>
      </c>
      <c r="L62" s="9" t="s">
        <v>226</v>
      </c>
      <c r="M62" s="9" t="s">
        <v>361</v>
      </c>
      <c r="N62" s="9" t="s">
        <v>55</v>
      </c>
      <c r="O62" s="9"/>
    </row>
    <row r="63" spans="1:15" ht="43.5" x14ac:dyDescent="0.35">
      <c r="A63" s="15" t="s">
        <v>60</v>
      </c>
      <c r="B63" s="13" t="s">
        <v>61</v>
      </c>
      <c r="C63" s="13" t="s">
        <v>308</v>
      </c>
      <c r="D63" s="51" t="s">
        <v>225</v>
      </c>
      <c r="E63" s="51" t="s">
        <v>225</v>
      </c>
      <c r="F63" s="51"/>
      <c r="G63" s="51"/>
      <c r="H63" s="51"/>
      <c r="I63" s="48" t="s">
        <v>293</v>
      </c>
      <c r="J63" s="9" t="s">
        <v>16</v>
      </c>
      <c r="K63" s="46" t="s">
        <v>274</v>
      </c>
      <c r="L63" s="9" t="s">
        <v>218</v>
      </c>
      <c r="M63" s="9" t="s">
        <v>362</v>
      </c>
      <c r="N63" s="9" t="s">
        <v>55</v>
      </c>
      <c r="O63" s="9"/>
    </row>
    <row r="64" spans="1:15" ht="58" x14ac:dyDescent="0.35">
      <c r="A64" s="15" t="s">
        <v>100</v>
      </c>
      <c r="B64" s="13" t="s">
        <v>369</v>
      </c>
      <c r="C64" s="13" t="s">
        <v>318</v>
      </c>
      <c r="D64" s="51"/>
      <c r="E64" s="51"/>
      <c r="F64" s="51" t="s">
        <v>225</v>
      </c>
      <c r="G64" s="51"/>
      <c r="H64" s="51"/>
      <c r="I64" s="48" t="s">
        <v>293</v>
      </c>
      <c r="J64" s="9" t="s">
        <v>16</v>
      </c>
      <c r="K64" s="46" t="s">
        <v>274</v>
      </c>
      <c r="L64" s="9" t="s">
        <v>226</v>
      </c>
      <c r="M64" s="9" t="s">
        <v>361</v>
      </c>
      <c r="N64" s="9" t="s">
        <v>55</v>
      </c>
      <c r="O64" s="9" t="s">
        <v>293</v>
      </c>
    </row>
    <row r="65" spans="1:17" ht="43.5" x14ac:dyDescent="0.35">
      <c r="A65" s="15" t="s">
        <v>272</v>
      </c>
      <c r="B65" s="13" t="s">
        <v>57</v>
      </c>
      <c r="C65" s="13" t="s">
        <v>305</v>
      </c>
      <c r="D65" s="51"/>
      <c r="E65" s="51" t="s">
        <v>225</v>
      </c>
      <c r="F65" s="51"/>
      <c r="G65" s="51"/>
      <c r="H65" s="51"/>
      <c r="I65" s="48" t="s">
        <v>293</v>
      </c>
      <c r="J65" s="9" t="s">
        <v>46</v>
      </c>
      <c r="K65" s="45" t="s">
        <v>273</v>
      </c>
      <c r="L65" s="9" t="s">
        <v>218</v>
      </c>
      <c r="M65" s="9" t="s">
        <v>362</v>
      </c>
      <c r="N65" s="9" t="s">
        <v>55</v>
      </c>
      <c r="O65" s="9"/>
    </row>
    <row r="66" spans="1:17" ht="87" x14ac:dyDescent="0.35">
      <c r="A66" s="15" t="s">
        <v>82</v>
      </c>
      <c r="B66" s="13" t="s">
        <v>365</v>
      </c>
      <c r="C66" s="13" t="s">
        <v>315</v>
      </c>
      <c r="D66" s="51"/>
      <c r="E66" s="51"/>
      <c r="F66" s="51" t="s">
        <v>225</v>
      </c>
      <c r="G66" s="51" t="s">
        <v>225</v>
      </c>
      <c r="H66" s="51" t="s">
        <v>225</v>
      </c>
      <c r="I66" s="48"/>
      <c r="J66" s="9" t="s">
        <v>16</v>
      </c>
      <c r="K66" s="47" t="s">
        <v>275</v>
      </c>
      <c r="L66" s="9" t="s">
        <v>226</v>
      </c>
      <c r="M66" s="9" t="s">
        <v>361</v>
      </c>
      <c r="N66" s="9" t="s">
        <v>278</v>
      </c>
      <c r="O66" s="9" t="s">
        <v>293</v>
      </c>
    </row>
    <row r="67" spans="1:17" ht="58" customHeight="1" x14ac:dyDescent="0.35">
      <c r="A67" s="15" t="s">
        <v>95</v>
      </c>
      <c r="B67" s="13" t="s">
        <v>96</v>
      </c>
      <c r="C67" s="13" t="s">
        <v>313</v>
      </c>
      <c r="D67" s="51"/>
      <c r="E67" s="51" t="s">
        <v>225</v>
      </c>
      <c r="F67" s="51" t="s">
        <v>225</v>
      </c>
      <c r="G67" s="51" t="s">
        <v>225</v>
      </c>
      <c r="H67" s="51"/>
      <c r="I67" s="48" t="s">
        <v>293</v>
      </c>
      <c r="J67" s="9" t="s">
        <v>46</v>
      </c>
      <c r="K67" s="46" t="s">
        <v>274</v>
      </c>
      <c r="L67" s="9" t="s">
        <v>226</v>
      </c>
      <c r="M67" s="9" t="s">
        <v>361</v>
      </c>
      <c r="N67" s="9" t="s">
        <v>278</v>
      </c>
      <c r="O67" s="9"/>
    </row>
    <row r="68" spans="1:17" ht="58" customHeight="1" x14ac:dyDescent="0.35">
      <c r="A68" s="15" t="s">
        <v>263</v>
      </c>
      <c r="B68" s="13" t="s">
        <v>367</v>
      </c>
      <c r="C68" s="13" t="s">
        <v>313</v>
      </c>
      <c r="D68" s="51"/>
      <c r="E68" s="51" t="s">
        <v>225</v>
      </c>
      <c r="F68" s="51" t="s">
        <v>225</v>
      </c>
      <c r="G68" s="51"/>
      <c r="H68" s="51"/>
      <c r="I68" s="48" t="s">
        <v>293</v>
      </c>
      <c r="J68" s="9" t="s">
        <v>73</v>
      </c>
      <c r="K68" s="45" t="s">
        <v>273</v>
      </c>
      <c r="L68" s="9" t="s">
        <v>226</v>
      </c>
      <c r="M68" s="9" t="s">
        <v>361</v>
      </c>
      <c r="N68" s="9" t="s">
        <v>278</v>
      </c>
      <c r="O68" s="9"/>
    </row>
    <row r="69" spans="1:17" ht="43.5" x14ac:dyDescent="0.35">
      <c r="A69" s="15" t="s">
        <v>262</v>
      </c>
      <c r="B69" s="13" t="s">
        <v>366</v>
      </c>
      <c r="C69" s="13" t="s">
        <v>359</v>
      </c>
      <c r="D69" s="51"/>
      <c r="E69" s="51" t="s">
        <v>225</v>
      </c>
      <c r="F69" s="51"/>
      <c r="G69" s="51"/>
      <c r="H69" s="51"/>
      <c r="I69" s="48" t="s">
        <v>293</v>
      </c>
      <c r="J69" s="9" t="s">
        <v>46</v>
      </c>
      <c r="K69" s="45" t="s">
        <v>273</v>
      </c>
      <c r="L69" s="9" t="s">
        <v>219</v>
      </c>
      <c r="M69" s="9" t="s">
        <v>361</v>
      </c>
      <c r="N69" s="9" t="s">
        <v>278</v>
      </c>
      <c r="O69" s="9"/>
    </row>
    <row r="70" spans="1:17" ht="58" x14ac:dyDescent="0.35">
      <c r="A70" s="15" t="s">
        <v>93</v>
      </c>
      <c r="B70" s="13" t="s">
        <v>94</v>
      </c>
      <c r="C70" s="13" t="s">
        <v>313</v>
      </c>
      <c r="D70" s="51"/>
      <c r="E70" s="51" t="s">
        <v>225</v>
      </c>
      <c r="F70" s="51" t="s">
        <v>225</v>
      </c>
      <c r="G70" s="51" t="s">
        <v>225</v>
      </c>
      <c r="H70" s="51"/>
      <c r="I70" s="48" t="s">
        <v>293</v>
      </c>
      <c r="J70" s="9" t="s">
        <v>73</v>
      </c>
      <c r="K70" s="45" t="s">
        <v>273</v>
      </c>
      <c r="L70" s="9" t="s">
        <v>219</v>
      </c>
      <c r="M70" s="9" t="s">
        <v>361</v>
      </c>
      <c r="N70" s="9" t="s">
        <v>278</v>
      </c>
      <c r="O70" s="9"/>
    </row>
    <row r="71" spans="1:17" ht="65.5" customHeight="1" x14ac:dyDescent="0.35">
      <c r="A71" s="15" t="s">
        <v>80</v>
      </c>
      <c r="B71" s="13" t="s">
        <v>368</v>
      </c>
      <c r="C71" s="13" t="s">
        <v>359</v>
      </c>
      <c r="D71" s="51"/>
      <c r="E71" s="51" t="s">
        <v>225</v>
      </c>
      <c r="F71" s="51" t="s">
        <v>225</v>
      </c>
      <c r="G71" s="51"/>
      <c r="H71" s="51"/>
      <c r="I71" s="48" t="s">
        <v>293</v>
      </c>
      <c r="J71" s="9" t="s">
        <v>46</v>
      </c>
      <c r="K71" s="45" t="s">
        <v>273</v>
      </c>
      <c r="L71" s="9" t="s">
        <v>226</v>
      </c>
      <c r="M71" s="9" t="s">
        <v>361</v>
      </c>
      <c r="N71" s="9" t="s">
        <v>278</v>
      </c>
      <c r="O71" s="9" t="s">
        <v>293</v>
      </c>
    </row>
    <row r="72" spans="1:17" ht="42.5" customHeight="1" x14ac:dyDescent="0.35">
      <c r="A72" s="15" t="s">
        <v>37</v>
      </c>
      <c r="B72" s="13" t="s">
        <v>38</v>
      </c>
      <c r="C72" s="13" t="s">
        <v>356</v>
      </c>
      <c r="D72" s="51"/>
      <c r="E72" s="51"/>
      <c r="F72" s="51" t="s">
        <v>225</v>
      </c>
      <c r="G72" s="51" t="s">
        <v>225</v>
      </c>
      <c r="H72" s="51" t="s">
        <v>225</v>
      </c>
      <c r="I72" s="48"/>
      <c r="J72" s="9" t="s">
        <v>16</v>
      </c>
      <c r="K72" s="47" t="s">
        <v>275</v>
      </c>
      <c r="L72" s="9" t="s">
        <v>218</v>
      </c>
      <c r="M72" s="9" t="s">
        <v>361</v>
      </c>
      <c r="N72" s="9" t="s">
        <v>277</v>
      </c>
      <c r="O72" s="9"/>
    </row>
    <row r="73" spans="1:17" ht="43.5" customHeight="1" x14ac:dyDescent="0.35">
      <c r="A73" s="15" t="s">
        <v>44</v>
      </c>
      <c r="B73" s="13" t="s">
        <v>45</v>
      </c>
      <c r="C73" s="13" t="s">
        <v>304</v>
      </c>
      <c r="D73" s="51"/>
      <c r="E73" s="51"/>
      <c r="F73" s="51" t="s">
        <v>225</v>
      </c>
      <c r="G73" s="51" t="s">
        <v>225</v>
      </c>
      <c r="H73" s="51" t="s">
        <v>225</v>
      </c>
      <c r="I73" s="48" t="s">
        <v>293</v>
      </c>
      <c r="J73" s="9" t="s">
        <v>46</v>
      </c>
      <c r="K73" s="46" t="s">
        <v>274</v>
      </c>
      <c r="L73" s="9" t="s">
        <v>218</v>
      </c>
      <c r="M73" s="9" t="s">
        <v>361</v>
      </c>
      <c r="N73" s="9" t="s">
        <v>277</v>
      </c>
      <c r="O73" s="9" t="s">
        <v>293</v>
      </c>
    </row>
    <row r="74" spans="1:17" ht="43.5" x14ac:dyDescent="0.35">
      <c r="A74" s="15" t="s">
        <v>49</v>
      </c>
      <c r="B74" s="13" t="s">
        <v>50</v>
      </c>
      <c r="C74" s="13" t="s">
        <v>353</v>
      </c>
      <c r="D74" s="51"/>
      <c r="E74" s="51"/>
      <c r="F74" s="51" t="s">
        <v>225</v>
      </c>
      <c r="G74" s="51" t="s">
        <v>225</v>
      </c>
      <c r="H74" s="51"/>
      <c r="I74" s="48" t="s">
        <v>293</v>
      </c>
      <c r="J74" s="9" t="s">
        <v>46</v>
      </c>
      <c r="K74" s="45" t="s">
        <v>273</v>
      </c>
      <c r="L74" s="9" t="s">
        <v>218</v>
      </c>
      <c r="M74" s="9" t="s">
        <v>361</v>
      </c>
      <c r="N74" s="9" t="s">
        <v>277</v>
      </c>
      <c r="O74" s="9"/>
    </row>
    <row r="75" spans="1:17" ht="75.5" customHeight="1" x14ac:dyDescent="0.35">
      <c r="A75" s="15" t="s">
        <v>51</v>
      </c>
      <c r="B75" s="13" t="s">
        <v>52</v>
      </c>
      <c r="C75" s="13" t="s">
        <v>354</v>
      </c>
      <c r="D75" s="51" t="s">
        <v>225</v>
      </c>
      <c r="E75" s="51"/>
      <c r="F75" s="51"/>
      <c r="G75" s="51"/>
      <c r="H75" s="51"/>
      <c r="I75" s="48" t="s">
        <v>293</v>
      </c>
      <c r="J75" s="9" t="s">
        <v>16</v>
      </c>
      <c r="K75" s="45" t="s">
        <v>273</v>
      </c>
      <c r="L75" s="9" t="s">
        <v>219</v>
      </c>
      <c r="M75" s="9" t="s">
        <v>361</v>
      </c>
      <c r="N75" s="9" t="s">
        <v>277</v>
      </c>
      <c r="O75" s="9" t="s">
        <v>293</v>
      </c>
    </row>
    <row r="76" spans="1:17" ht="60.5" customHeight="1" x14ac:dyDescent="0.35">
      <c r="A76" s="15" t="s">
        <v>41</v>
      </c>
      <c r="B76" s="13" t="s">
        <v>42</v>
      </c>
      <c r="C76" s="13" t="s">
        <v>353</v>
      </c>
      <c r="D76" s="51" t="s">
        <v>225</v>
      </c>
      <c r="E76" s="51"/>
      <c r="F76" s="51"/>
      <c r="G76" s="51"/>
      <c r="H76" s="51"/>
      <c r="I76" s="48" t="s">
        <v>293</v>
      </c>
      <c r="J76" s="9" t="s">
        <v>16</v>
      </c>
      <c r="K76" s="45" t="s">
        <v>273</v>
      </c>
      <c r="L76" s="9" t="s">
        <v>218</v>
      </c>
      <c r="M76" s="9" t="s">
        <v>361</v>
      </c>
      <c r="N76" s="9" t="s">
        <v>277</v>
      </c>
      <c r="O76" s="9" t="s">
        <v>293</v>
      </c>
      <c r="Q76" s="50"/>
    </row>
    <row r="77" spans="1:17" ht="58" x14ac:dyDescent="0.35">
      <c r="A77" s="15" t="s">
        <v>47</v>
      </c>
      <c r="B77" s="13" t="s">
        <v>48</v>
      </c>
      <c r="C77" s="13" t="s">
        <v>355</v>
      </c>
      <c r="D77" s="51"/>
      <c r="E77" s="51"/>
      <c r="F77" s="51" t="s">
        <v>225</v>
      </c>
      <c r="G77" s="51" t="s">
        <v>225</v>
      </c>
      <c r="H77" s="51"/>
      <c r="I77" s="48" t="s">
        <v>293</v>
      </c>
      <c r="J77" s="9" t="s">
        <v>16</v>
      </c>
      <c r="K77" s="45" t="s">
        <v>273</v>
      </c>
      <c r="L77" s="9" t="s">
        <v>218</v>
      </c>
      <c r="M77" s="9" t="s">
        <v>361</v>
      </c>
      <c r="N77" s="9" t="s">
        <v>277</v>
      </c>
      <c r="O77" s="9" t="s">
        <v>293</v>
      </c>
    </row>
    <row r="78" spans="1:17" ht="72.5" x14ac:dyDescent="0.35">
      <c r="A78" s="15" t="s">
        <v>271</v>
      </c>
      <c r="B78" s="13" t="s">
        <v>197</v>
      </c>
      <c r="C78" s="13" t="s">
        <v>349</v>
      </c>
      <c r="D78" s="51"/>
      <c r="E78" s="51" t="s">
        <v>225</v>
      </c>
      <c r="F78" s="51" t="s">
        <v>225</v>
      </c>
      <c r="G78" s="51" t="s">
        <v>225</v>
      </c>
      <c r="H78" s="51" t="s">
        <v>225</v>
      </c>
      <c r="I78" s="48"/>
      <c r="J78" s="9" t="s">
        <v>16</v>
      </c>
      <c r="K78" s="47" t="s">
        <v>275</v>
      </c>
      <c r="L78" s="9" t="s">
        <v>218</v>
      </c>
      <c r="M78" s="9" t="s">
        <v>362</v>
      </c>
      <c r="N78" s="9" t="s">
        <v>163</v>
      </c>
      <c r="O78" s="9"/>
    </row>
    <row r="79" spans="1:17" ht="43.5" x14ac:dyDescent="0.35">
      <c r="A79" s="15" t="s">
        <v>204</v>
      </c>
      <c r="B79" s="13" t="s">
        <v>205</v>
      </c>
      <c r="C79" s="13" t="s">
        <v>351</v>
      </c>
      <c r="D79" s="51"/>
      <c r="E79" s="51"/>
      <c r="F79" s="51"/>
      <c r="G79" s="51" t="s">
        <v>225</v>
      </c>
      <c r="H79" s="51" t="s">
        <v>225</v>
      </c>
      <c r="I79" s="48" t="s">
        <v>293</v>
      </c>
      <c r="J79" s="9" t="s">
        <v>16</v>
      </c>
      <c r="K79" s="46" t="s">
        <v>274</v>
      </c>
      <c r="L79" s="9" t="s">
        <v>218</v>
      </c>
      <c r="M79" s="9" t="s">
        <v>362</v>
      </c>
      <c r="N79" s="9" t="s">
        <v>163</v>
      </c>
      <c r="O79" s="9"/>
    </row>
    <row r="80" spans="1:17" ht="43.5" x14ac:dyDescent="0.35">
      <c r="A80" s="15" t="s">
        <v>160</v>
      </c>
      <c r="B80" s="13" t="s">
        <v>161</v>
      </c>
      <c r="C80" s="13" t="s">
        <v>331</v>
      </c>
      <c r="D80" s="51"/>
      <c r="E80" s="51" t="s">
        <v>225</v>
      </c>
      <c r="F80" s="51"/>
      <c r="G80" s="51"/>
      <c r="H80" s="51"/>
      <c r="I80" s="48" t="s">
        <v>293</v>
      </c>
      <c r="J80" s="9" t="s">
        <v>73</v>
      </c>
      <c r="K80" s="46" t="s">
        <v>274</v>
      </c>
      <c r="L80" s="9" t="s">
        <v>218</v>
      </c>
      <c r="M80" s="9" t="s">
        <v>361</v>
      </c>
      <c r="N80" s="9" t="s">
        <v>163</v>
      </c>
      <c r="O80" s="9"/>
    </row>
    <row r="81" spans="1:15" ht="72.5" x14ac:dyDescent="0.35">
      <c r="A81" s="15" t="s">
        <v>174</v>
      </c>
      <c r="B81" s="13" t="s">
        <v>372</v>
      </c>
      <c r="C81" s="13" t="s">
        <v>330</v>
      </c>
      <c r="D81" s="51"/>
      <c r="E81" s="51"/>
      <c r="F81" s="51" t="s">
        <v>225</v>
      </c>
      <c r="G81" s="51" t="s">
        <v>225</v>
      </c>
      <c r="H81" s="51" t="s">
        <v>225</v>
      </c>
      <c r="I81" s="48" t="s">
        <v>293</v>
      </c>
      <c r="J81" s="9" t="s">
        <v>16</v>
      </c>
      <c r="K81" s="46" t="s">
        <v>274</v>
      </c>
      <c r="L81" s="9" t="s">
        <v>226</v>
      </c>
      <c r="M81" s="9" t="s">
        <v>361</v>
      </c>
      <c r="N81" s="9" t="s">
        <v>163</v>
      </c>
      <c r="O81" s="9" t="s">
        <v>293</v>
      </c>
    </row>
    <row r="82" spans="1:15" ht="43.5" x14ac:dyDescent="0.35">
      <c r="A82" s="15" t="s">
        <v>266</v>
      </c>
      <c r="B82" s="13" t="s">
        <v>165</v>
      </c>
      <c r="C82" s="13" t="s">
        <v>335</v>
      </c>
      <c r="D82" s="51"/>
      <c r="E82" s="51" t="s">
        <v>225</v>
      </c>
      <c r="F82" s="51"/>
      <c r="G82" s="51"/>
      <c r="H82" s="51"/>
      <c r="I82" s="48" t="s">
        <v>293</v>
      </c>
      <c r="J82" s="9" t="s">
        <v>73</v>
      </c>
      <c r="K82" s="46" t="s">
        <v>274</v>
      </c>
      <c r="L82" s="9" t="s">
        <v>218</v>
      </c>
      <c r="M82" s="9" t="s">
        <v>361</v>
      </c>
      <c r="N82" s="9" t="s">
        <v>163</v>
      </c>
      <c r="O82" s="9"/>
    </row>
    <row r="83" spans="1:15" ht="43.5" customHeight="1" x14ac:dyDescent="0.35">
      <c r="A83" s="15" t="s">
        <v>170</v>
      </c>
      <c r="B83" s="13" t="s">
        <v>171</v>
      </c>
      <c r="C83" s="13" t="s">
        <v>338</v>
      </c>
      <c r="D83" s="51"/>
      <c r="E83" s="51" t="s">
        <v>225</v>
      </c>
      <c r="F83" s="51" t="s">
        <v>225</v>
      </c>
      <c r="G83" s="51"/>
      <c r="H83" s="51"/>
      <c r="I83" s="48" t="s">
        <v>293</v>
      </c>
      <c r="J83" s="9" t="s">
        <v>73</v>
      </c>
      <c r="K83" s="45" t="s">
        <v>273</v>
      </c>
      <c r="L83" s="9" t="s">
        <v>219</v>
      </c>
      <c r="M83" s="9" t="s">
        <v>361</v>
      </c>
      <c r="N83" s="9" t="s">
        <v>163</v>
      </c>
      <c r="O83" s="9"/>
    </row>
    <row r="84" spans="1:15" ht="43.5" customHeight="1" x14ac:dyDescent="0.35">
      <c r="A84" s="15" t="s">
        <v>172</v>
      </c>
      <c r="B84" s="13" t="s">
        <v>173</v>
      </c>
      <c r="C84" s="13" t="s">
        <v>339</v>
      </c>
      <c r="D84" s="51"/>
      <c r="E84" s="51" t="s">
        <v>225</v>
      </c>
      <c r="F84" s="51" t="s">
        <v>225</v>
      </c>
      <c r="G84" s="51" t="s">
        <v>225</v>
      </c>
      <c r="H84" s="51"/>
      <c r="I84" s="48" t="s">
        <v>293</v>
      </c>
      <c r="J84" s="9" t="s">
        <v>73</v>
      </c>
      <c r="K84" s="45" t="s">
        <v>273</v>
      </c>
      <c r="L84" s="9" t="s">
        <v>226</v>
      </c>
      <c r="M84" s="9" t="s">
        <v>361</v>
      </c>
      <c r="N84" s="9" t="s">
        <v>163</v>
      </c>
      <c r="O84" s="9"/>
    </row>
    <row r="85" spans="1:15" ht="58" x14ac:dyDescent="0.35">
      <c r="A85" s="15" t="s">
        <v>166</v>
      </c>
      <c r="B85" s="13" t="s">
        <v>167</v>
      </c>
      <c r="C85" s="13" t="s">
        <v>336</v>
      </c>
      <c r="D85" s="51"/>
      <c r="E85" s="51" t="s">
        <v>225</v>
      </c>
      <c r="F85" s="51" t="s">
        <v>225</v>
      </c>
      <c r="G85" s="51" t="s">
        <v>225</v>
      </c>
      <c r="H85" s="51" t="s">
        <v>225</v>
      </c>
      <c r="I85" s="48" t="s">
        <v>293</v>
      </c>
      <c r="J85" s="9" t="s">
        <v>73</v>
      </c>
      <c r="K85" s="45" t="s">
        <v>273</v>
      </c>
      <c r="L85" s="9" t="s">
        <v>226</v>
      </c>
      <c r="M85" s="9" t="s">
        <v>361</v>
      </c>
      <c r="N85" s="9" t="s">
        <v>163</v>
      </c>
      <c r="O85" s="9"/>
    </row>
    <row r="86" spans="1:15" ht="58" x14ac:dyDescent="0.35">
      <c r="A86" s="15" t="s">
        <v>168</v>
      </c>
      <c r="B86" s="13" t="s">
        <v>288</v>
      </c>
      <c r="C86" s="13" t="s">
        <v>337</v>
      </c>
      <c r="D86" s="51"/>
      <c r="E86" s="51"/>
      <c r="F86" s="51"/>
      <c r="G86" s="51" t="s">
        <v>225</v>
      </c>
      <c r="H86" s="51"/>
      <c r="I86" s="48" t="s">
        <v>293</v>
      </c>
      <c r="J86" s="9" t="s">
        <v>73</v>
      </c>
      <c r="K86" s="45" t="s">
        <v>273</v>
      </c>
      <c r="L86" s="9" t="s">
        <v>219</v>
      </c>
      <c r="M86" s="9" t="s">
        <v>361</v>
      </c>
      <c r="N86" s="9" t="s">
        <v>163</v>
      </c>
      <c r="O86" s="9" t="s">
        <v>293</v>
      </c>
    </row>
    <row r="87" spans="1:15" x14ac:dyDescent="0.35">
      <c r="A87" s="20"/>
      <c r="B87" s="20"/>
      <c r="C87" s="20"/>
      <c r="D87" s="26"/>
      <c r="E87" s="26"/>
      <c r="F87" s="26"/>
      <c r="G87" s="26"/>
      <c r="H87" s="26"/>
      <c r="I87" s="26"/>
      <c r="J87" s="26"/>
      <c r="K87" s="27"/>
      <c r="L87" s="26"/>
      <c r="M87" s="26"/>
      <c r="N87" s="26"/>
      <c r="O87" s="9"/>
    </row>
    <row r="90" spans="1:15" x14ac:dyDescent="0.35">
      <c r="C90" s="44" t="s">
        <v>279</v>
      </c>
      <c r="D90" s="26"/>
      <c r="E90" s="26"/>
      <c r="F90" s="26"/>
    </row>
    <row r="91" spans="1:15" x14ac:dyDescent="0.35">
      <c r="C91" s="13" t="s">
        <v>273</v>
      </c>
      <c r="D91" s="9">
        <f>COUNTIF($K$2:$K$86,"entry")</f>
        <v>31</v>
      </c>
    </row>
    <row r="92" spans="1:15" x14ac:dyDescent="0.35">
      <c r="C92" s="13" t="s">
        <v>274</v>
      </c>
      <c r="D92" s="9">
        <f>COUNTIF($K$2:$K$86,"intermediate")</f>
        <v>39</v>
      </c>
    </row>
    <row r="93" spans="1:15" x14ac:dyDescent="0.35">
      <c r="C93" s="13" t="s">
        <v>275</v>
      </c>
      <c r="D93" s="9">
        <f>COUNTIF($K$2:$K$86,"senior")</f>
        <v>15</v>
      </c>
    </row>
    <row r="94" spans="1:15" s="32" customFormat="1" x14ac:dyDescent="0.35">
      <c r="A94" s="13"/>
      <c r="C94" s="20"/>
      <c r="D94" s="9"/>
      <c r="E94" s="9"/>
      <c r="F94" s="9"/>
      <c r="G94" s="9"/>
      <c r="H94" s="9"/>
      <c r="I94" s="9"/>
      <c r="J94" s="9"/>
      <c r="K94" s="3"/>
      <c r="L94" s="9"/>
      <c r="M94" s="9"/>
      <c r="N94" s="9"/>
    </row>
    <row r="95" spans="1:15" s="32" customFormat="1" x14ac:dyDescent="0.35">
      <c r="A95" s="13"/>
      <c r="C95" s="13"/>
      <c r="D95" s="9"/>
      <c r="E95" s="9"/>
      <c r="F95" s="9"/>
      <c r="G95" s="9"/>
      <c r="H95" s="9"/>
      <c r="I95" s="9"/>
      <c r="J95" s="9"/>
      <c r="K95" s="3"/>
      <c r="L95" s="9"/>
      <c r="M95" s="9"/>
      <c r="N95" s="9"/>
    </row>
    <row r="96" spans="1:15" s="32" customFormat="1" x14ac:dyDescent="0.35">
      <c r="A96" s="13"/>
      <c r="D96" s="3"/>
      <c r="E96" s="24"/>
      <c r="F96" s="24"/>
      <c r="G96" s="9"/>
      <c r="H96" s="9"/>
      <c r="I96" s="9"/>
      <c r="J96" s="9"/>
      <c r="K96" s="3"/>
      <c r="L96" s="9"/>
      <c r="M96" s="9"/>
      <c r="N96" s="9"/>
    </row>
    <row r="97" spans="1:15" s="32" customFormat="1" ht="29" x14ac:dyDescent="0.35">
      <c r="A97" s="13"/>
      <c r="C97" s="36" t="s">
        <v>11</v>
      </c>
      <c r="D97" s="37" t="s">
        <v>375</v>
      </c>
      <c r="E97" s="35" t="s">
        <v>218</v>
      </c>
      <c r="F97" s="35" t="s">
        <v>219</v>
      </c>
      <c r="G97" s="37" t="s">
        <v>226</v>
      </c>
      <c r="H97" s="9"/>
      <c r="I97" s="9"/>
      <c r="J97" s="9"/>
      <c r="K97" s="9"/>
      <c r="L97" s="3"/>
      <c r="M97" s="9"/>
      <c r="N97" s="9"/>
      <c r="O97" s="9"/>
    </row>
    <row r="98" spans="1:15" s="32" customFormat="1" x14ac:dyDescent="0.35">
      <c r="A98" s="13"/>
      <c r="C98" t="s">
        <v>193</v>
      </c>
      <c r="D98" s="6">
        <f>COUNTIF($N$2:$N$86,"Project Management")</f>
        <v>6</v>
      </c>
      <c r="E98" s="6">
        <f>COUNTIFS($N$2:$N$86,"Project Management",$L$2:$L$86,"Onshore")</f>
        <v>5</v>
      </c>
      <c r="F98" s="6">
        <f>COUNTIFS($N$2:$N$86,"Project Management",$L$2:$L$86,"Offshore")</f>
        <v>0</v>
      </c>
      <c r="G98" s="6">
        <f>COUNTIFS($N$2:$N$86,"Project Management",$L$2:$L$86,"Off/ Onshore")</f>
        <v>1</v>
      </c>
      <c r="H98" s="9"/>
      <c r="I98" s="9"/>
      <c r="J98" s="9"/>
      <c r="K98" s="9"/>
      <c r="L98" s="3"/>
      <c r="M98" s="9"/>
      <c r="N98" s="9"/>
      <c r="O98" s="9"/>
    </row>
    <row r="99" spans="1:15" s="32" customFormat="1" x14ac:dyDescent="0.35">
      <c r="A99" s="13"/>
      <c r="C99" t="s">
        <v>178</v>
      </c>
      <c r="D99" s="6">
        <f>COUNTIF($N$2:$N$86,"Project Development")</f>
        <v>16</v>
      </c>
      <c r="E99" s="6">
        <f>COUNTIFS($N$2:$N$86,"Project Development",$L$2:$L$86,"Onshore")</f>
        <v>12</v>
      </c>
      <c r="F99" s="6">
        <f>COUNTIFS($N$2:$N$86,"Project Development",$L$2:$L$86,"Offshore")</f>
        <v>0</v>
      </c>
      <c r="G99" s="6">
        <f>COUNTIFS($N$2:$N$86,"Project Development",$L$2:$L$86,"Off/ Onshore")</f>
        <v>4</v>
      </c>
      <c r="H99" s="9"/>
      <c r="I99" s="9"/>
      <c r="J99" s="9"/>
      <c r="K99" s="9"/>
      <c r="L99" s="3"/>
      <c r="M99" s="9"/>
      <c r="N99" s="9"/>
      <c r="O99" s="9"/>
    </row>
    <row r="100" spans="1:15" s="32" customFormat="1" x14ac:dyDescent="0.35">
      <c r="A100" s="13"/>
      <c r="C100" t="s">
        <v>129</v>
      </c>
      <c r="D100" s="6">
        <f>COUNTIF($N$2:$N$86,"Maritime")</f>
        <v>14</v>
      </c>
      <c r="E100" s="6">
        <f>COUNTIFS($N$2:$N$86,"Maritime",$L$2:$L$86,"Onshore")</f>
        <v>7</v>
      </c>
      <c r="F100" s="6">
        <f>COUNTIFS($N$2:$N$86,"Maritime",$L$2:$L$86,"Offshore")</f>
        <v>4</v>
      </c>
      <c r="G100" s="6">
        <f>COUNTIFS($N$2:$N$86,"Maritime",$L$2:$L$86,"Off/ Onshore")</f>
        <v>3</v>
      </c>
      <c r="H100" s="9"/>
      <c r="I100" s="9"/>
      <c r="J100" s="9"/>
      <c r="K100" s="9"/>
      <c r="L100" s="3"/>
      <c r="M100" s="9"/>
      <c r="N100" s="9"/>
      <c r="O100" s="9"/>
    </row>
    <row r="101" spans="1:15" s="32" customFormat="1" x14ac:dyDescent="0.35">
      <c r="A101" s="13"/>
      <c r="C101" t="s">
        <v>104</v>
      </c>
      <c r="D101" s="6">
        <f>COUNTIF($N$2:$N$86,"Manufacturing")</f>
        <v>11</v>
      </c>
      <c r="E101" s="6">
        <f>COUNTIFS($N$2:$N$86,"Manufacturing",$L$2:$L$86,"Onshore")</f>
        <v>8</v>
      </c>
      <c r="F101" s="6">
        <f>COUNTIFS($N$2:$N$86,"Manufacturing",$L$2:$L$86,"Offshore")</f>
        <v>0</v>
      </c>
      <c r="G101" s="6">
        <f>COUNTIFS($N$2:$N$86,"Manufacturing",$L$2:$L$86,"Off/ Onshore")</f>
        <v>3</v>
      </c>
      <c r="H101" s="9"/>
      <c r="I101" s="9"/>
      <c r="J101" s="9"/>
      <c r="K101" s="9"/>
      <c r="L101" s="3"/>
      <c r="M101" s="9"/>
      <c r="N101" s="9"/>
      <c r="O101" s="9"/>
    </row>
    <row r="102" spans="1:15" x14ac:dyDescent="0.35">
      <c r="C102" t="s">
        <v>245</v>
      </c>
      <c r="D102" s="6">
        <f>COUNTIF($N$2:$N$86,"Construction")</f>
        <v>7</v>
      </c>
      <c r="E102" s="6">
        <f>COUNTIFS($N$2:$N$86,"Construction",$L$2:$L$86,"Onshore")</f>
        <v>3</v>
      </c>
      <c r="F102" s="6">
        <f>COUNTIFS($N$2:$N$86,"Construction",$L$2:$L$86,"Offshore")</f>
        <v>1</v>
      </c>
      <c r="G102" s="6">
        <f>COUNTIFS($N$2:$N$86,"Construction",$L$2:$L$86,"Off/ Onshore")</f>
        <v>3</v>
      </c>
      <c r="K102" s="9"/>
      <c r="L102" s="3"/>
      <c r="O102" s="9"/>
    </row>
    <row r="103" spans="1:15" s="32" customFormat="1" x14ac:dyDescent="0.35">
      <c r="A103" s="13"/>
      <c r="C103" t="s">
        <v>55</v>
      </c>
      <c r="D103" s="6">
        <f>COUNTIF($N$2:$N$86,"Engineering")</f>
        <v>10</v>
      </c>
      <c r="E103" s="6">
        <f>COUNTIFS($N$2:$N$86,"Engineering",$L$2:$L$86,"Onshore")</f>
        <v>4</v>
      </c>
      <c r="F103" s="6">
        <f>COUNTIFS($N$2:$N$86,"Engineering",$L$2:$L$86,"Offshore")</f>
        <v>1</v>
      </c>
      <c r="G103" s="6">
        <f>COUNTIFS($N$2:$N$86,"Engineering",$L$2:$L$86,"Off/ Onshore")</f>
        <v>5</v>
      </c>
      <c r="H103" s="9"/>
      <c r="I103" s="9"/>
      <c r="J103" s="9"/>
      <c r="K103" s="9"/>
      <c r="L103" s="3"/>
      <c r="M103" s="9"/>
      <c r="N103" s="9"/>
      <c r="O103" s="9"/>
    </row>
    <row r="104" spans="1:15" s="32" customFormat="1" x14ac:dyDescent="0.35">
      <c r="A104" s="13"/>
      <c r="C104" t="s">
        <v>278</v>
      </c>
      <c r="D104" s="6">
        <f>COUNTIF($N$2:$N$86,"Electrical Services")</f>
        <v>6</v>
      </c>
      <c r="E104" s="6">
        <f>COUNTIFS($N$2:$N$86,"Electrical Services",$L$2:$L$86,"Onshore")</f>
        <v>0</v>
      </c>
      <c r="F104" s="6">
        <f>COUNTIFS($N$2:$N$86,"Electrical Services",$L$2:$L$86,"Offshore")</f>
        <v>2</v>
      </c>
      <c r="G104" s="6">
        <f>COUNTIFS($N$2:$N$86,"Electrical Services",$L$2:$L$86,"Off/ Onshore")</f>
        <v>4</v>
      </c>
      <c r="H104" s="9"/>
      <c r="I104" s="9"/>
      <c r="J104" s="9"/>
      <c r="K104" s="9"/>
      <c r="L104" s="3"/>
      <c r="M104" s="9"/>
      <c r="N104" s="9"/>
      <c r="O104" s="9"/>
    </row>
    <row r="105" spans="1:15" s="32" customFormat="1" x14ac:dyDescent="0.35">
      <c r="A105" s="13"/>
      <c r="C105" t="s">
        <v>277</v>
      </c>
      <c r="D105" s="6">
        <f>COUNTIF($N$2:$N$86,"Data &amp; Communications (ICT)")</f>
        <v>6</v>
      </c>
      <c r="E105" s="6">
        <f>COUNTIFS($N$2:$N$86,"Data &amp; Communications (ICT)",$L$2:$L$86,"Onshore")</f>
        <v>5</v>
      </c>
      <c r="F105" s="6">
        <f>COUNTIFS($N$2:$N$86,"Data &amp; Communications (ICT)",$L$2:$L$86,"Offshore")</f>
        <v>1</v>
      </c>
      <c r="G105" s="6">
        <f>COUNTIFS($N$2:$N$86,"Data &amp; Communications (ICT)",$L$2:$L$86,"Off/ Onshore")</f>
        <v>0</v>
      </c>
      <c r="H105" s="9"/>
      <c r="I105" s="9"/>
      <c r="J105" s="9"/>
      <c r="K105" s="9"/>
      <c r="L105" s="3"/>
      <c r="M105" s="9"/>
      <c r="N105" s="9"/>
      <c r="O105" s="9"/>
    </row>
    <row r="106" spans="1:15" s="32" customFormat="1" x14ac:dyDescent="0.35">
      <c r="A106" s="13"/>
      <c r="C106" t="s">
        <v>163</v>
      </c>
      <c r="D106" s="6">
        <f>COUNTIF($N$2:$N$86,"Operations &amp; Maintenance")</f>
        <v>9</v>
      </c>
      <c r="E106" s="6">
        <f>COUNTIFS($N$2:$N$86,"Operations &amp; Maintenance",$L$2:$L$86,"Onshore")</f>
        <v>4</v>
      </c>
      <c r="F106" s="6">
        <f>COUNTIFS($N$2:$N$86,"Operations &amp; Maintenance",$L$2:$L$86,"Offshore")</f>
        <v>2</v>
      </c>
      <c r="G106" s="6">
        <f>COUNTIFS($N$2:$N$86,"Operations &amp; Maintenance",$L$2:$L$86,"Off/ Onshore")</f>
        <v>3</v>
      </c>
      <c r="H106" s="9"/>
      <c r="I106" s="9"/>
      <c r="J106" s="9"/>
      <c r="K106" s="9"/>
      <c r="L106" s="3"/>
      <c r="M106" s="9"/>
      <c r="N106" s="9"/>
      <c r="O106" s="9"/>
    </row>
    <row r="107" spans="1:15" x14ac:dyDescent="0.35">
      <c r="C107" s="37" t="s">
        <v>220</v>
      </c>
      <c r="D107" s="49">
        <f>SUM(D98:D106)</f>
        <v>85</v>
      </c>
      <c r="E107" s="49">
        <f t="shared" ref="E107:G107" si="0">SUM(E98:E106)</f>
        <v>48</v>
      </c>
      <c r="F107" s="49">
        <f t="shared" si="0"/>
        <v>11</v>
      </c>
      <c r="G107" s="49">
        <f t="shared" si="0"/>
        <v>26</v>
      </c>
      <c r="K107" s="9"/>
      <c r="L107" s="3"/>
      <c r="O107" s="9"/>
    </row>
    <row r="111" spans="1:15" s="32" customFormat="1" x14ac:dyDescent="0.35">
      <c r="A111" s="13"/>
      <c r="B111" s="36"/>
      <c r="C111" s="36"/>
      <c r="D111" s="3"/>
      <c r="E111" s="3"/>
      <c r="F111" s="3"/>
      <c r="G111" s="9"/>
      <c r="H111" s="9"/>
      <c r="I111" s="9"/>
      <c r="J111" s="9"/>
      <c r="K111" s="3"/>
      <c r="L111" s="9"/>
      <c r="M111" s="9"/>
      <c r="N111" s="9"/>
    </row>
    <row r="112" spans="1:15" s="32" customFormat="1" x14ac:dyDescent="0.35">
      <c r="A112" s="13"/>
      <c r="B112" s="9"/>
      <c r="C112" s="9"/>
      <c r="D112" s="42"/>
      <c r="E112" s="42"/>
      <c r="F112" s="27"/>
      <c r="G112" s="9"/>
      <c r="H112" s="9"/>
      <c r="I112" s="9"/>
      <c r="J112" s="9"/>
      <c r="K112" s="3"/>
      <c r="L112" s="9"/>
      <c r="M112" s="9"/>
      <c r="N112" s="9"/>
    </row>
    <row r="113" spans="1:14" s="32" customFormat="1" x14ac:dyDescent="0.35">
      <c r="A113" s="13"/>
      <c r="B113"/>
      <c r="C113"/>
      <c r="D113" s="43"/>
      <c r="E113" s="43"/>
      <c r="F113" s="43"/>
      <c r="G113" s="9"/>
      <c r="H113" s="9"/>
      <c r="I113" s="9"/>
      <c r="J113" s="9"/>
      <c r="K113" s="3"/>
      <c r="L113" s="9"/>
      <c r="M113" s="9"/>
      <c r="N113" s="9"/>
    </row>
    <row r="114" spans="1:14" s="32" customFormat="1" x14ac:dyDescent="0.35">
      <c r="A114" s="13"/>
      <c r="B114"/>
      <c r="C114"/>
      <c r="D114" s="43"/>
      <c r="E114" s="43"/>
      <c r="F114" s="43"/>
      <c r="G114" s="9"/>
      <c r="H114" s="9"/>
      <c r="I114" s="9"/>
      <c r="J114" s="9"/>
      <c r="K114" s="3"/>
      <c r="L114" s="9"/>
      <c r="M114" s="9"/>
      <c r="N114" s="9"/>
    </row>
    <row r="115" spans="1:14" s="32" customFormat="1" x14ac:dyDescent="0.35">
      <c r="A115" s="13"/>
      <c r="B115"/>
      <c r="C115"/>
      <c r="D115" s="43"/>
      <c r="E115" s="43"/>
      <c r="F115" s="43"/>
      <c r="G115" s="9"/>
      <c r="H115" s="9"/>
      <c r="I115" s="9"/>
      <c r="J115" s="9"/>
      <c r="K115" s="3"/>
      <c r="L115" s="9"/>
      <c r="M115" s="9"/>
      <c r="N115" s="9"/>
    </row>
    <row r="116" spans="1:14" s="32" customFormat="1" x14ac:dyDescent="0.35">
      <c r="A116" s="13"/>
      <c r="B116"/>
      <c r="C116"/>
      <c r="D116" s="43"/>
      <c r="E116" s="43"/>
      <c r="F116" s="43"/>
      <c r="G116" s="9"/>
      <c r="H116" s="9"/>
      <c r="I116" s="9"/>
      <c r="J116" s="9"/>
      <c r="K116" s="3"/>
      <c r="L116" s="9"/>
      <c r="M116" s="9"/>
      <c r="N116" s="9"/>
    </row>
    <row r="117" spans="1:14" s="32" customFormat="1" x14ac:dyDescent="0.35">
      <c r="A117" s="13"/>
      <c r="B117"/>
      <c r="C117"/>
      <c r="D117" s="43"/>
      <c r="E117" s="43"/>
      <c r="F117" s="43"/>
      <c r="G117" s="9"/>
      <c r="H117" s="9"/>
      <c r="I117" s="9"/>
      <c r="J117" s="9"/>
      <c r="K117" s="3"/>
      <c r="L117" s="9"/>
      <c r="M117" s="9"/>
      <c r="N117" s="9"/>
    </row>
    <row r="118" spans="1:14" s="32" customFormat="1" x14ac:dyDescent="0.35">
      <c r="A118" s="13"/>
      <c r="B118"/>
      <c r="C118"/>
      <c r="D118" s="43"/>
      <c r="E118" s="43"/>
      <c r="F118" s="43"/>
      <c r="G118" s="9"/>
      <c r="H118" s="9"/>
      <c r="I118" s="9"/>
      <c r="J118" s="9"/>
      <c r="K118" s="3"/>
      <c r="L118" s="9"/>
      <c r="M118" s="9"/>
      <c r="N118" s="9"/>
    </row>
    <row r="119" spans="1:14" s="32" customFormat="1" x14ac:dyDescent="0.35">
      <c r="A119" s="13"/>
      <c r="B119"/>
      <c r="C119"/>
      <c r="D119" s="43"/>
      <c r="E119" s="43"/>
      <c r="F119" s="43"/>
      <c r="G119" s="9"/>
      <c r="H119" s="9"/>
      <c r="I119" s="9"/>
      <c r="J119" s="9"/>
      <c r="K119" s="3"/>
      <c r="L119" s="9"/>
      <c r="M119" s="9"/>
      <c r="N119" s="9"/>
    </row>
    <row r="120" spans="1:14" s="32" customFormat="1" x14ac:dyDescent="0.35">
      <c r="A120" s="13"/>
      <c r="B120"/>
      <c r="C120"/>
      <c r="D120" s="43"/>
      <c r="E120" s="43"/>
      <c r="F120" s="43"/>
      <c r="G120" s="9"/>
      <c r="H120" s="9"/>
      <c r="I120" s="9"/>
      <c r="J120" s="9"/>
      <c r="K120" s="3"/>
      <c r="L120" s="9"/>
      <c r="M120" s="9"/>
      <c r="N120" s="9"/>
    </row>
    <row r="121" spans="1:14" s="32" customFormat="1" x14ac:dyDescent="0.35">
      <c r="A121" s="13"/>
      <c r="B121"/>
      <c r="C121"/>
      <c r="D121" s="43"/>
      <c r="E121" s="43"/>
      <c r="F121" s="43"/>
      <c r="G121" s="9"/>
      <c r="H121" s="9"/>
      <c r="I121" s="9"/>
      <c r="J121" s="9"/>
      <c r="K121" s="3"/>
      <c r="L121" s="9"/>
      <c r="M121" s="9"/>
      <c r="N121" s="9"/>
    </row>
    <row r="122" spans="1:14" s="32" customFormat="1" x14ac:dyDescent="0.35">
      <c r="A122" s="13"/>
      <c r="B122" s="37"/>
      <c r="C122" s="37"/>
      <c r="D122" s="27"/>
      <c r="E122" s="27"/>
      <c r="F122" s="27"/>
      <c r="G122" s="9"/>
      <c r="H122" s="9"/>
      <c r="I122" s="9"/>
      <c r="J122" s="9"/>
      <c r="K122" s="3"/>
      <c r="L122" s="9"/>
      <c r="M122" s="9"/>
      <c r="N122" s="9"/>
    </row>
    <row r="123" spans="1:14" s="32" customFormat="1" x14ac:dyDescent="0.35">
      <c r="A123" s="13"/>
      <c r="B123" s="9"/>
      <c r="C123" s="9"/>
      <c r="D123" s="3"/>
      <c r="E123" s="3"/>
      <c r="F123" s="3"/>
      <c r="G123" s="9"/>
      <c r="H123" s="9"/>
      <c r="I123" s="9"/>
      <c r="J123" s="9"/>
      <c r="K123" s="3"/>
      <c r="L123" s="9"/>
      <c r="M123" s="9"/>
      <c r="N123" s="9"/>
    </row>
  </sheetData>
  <conditionalFormatting sqref="K108:K1048576 K2:K96 L97:L107">
    <cfRule type="colorScale" priority="6">
      <colorScale>
        <cfvo type="min"/>
        <cfvo type="percentile" val="50"/>
        <cfvo type="max"/>
        <color rgb="FF00B050"/>
        <color rgb="FFFFEB84"/>
        <color theme="5"/>
      </colorScale>
    </cfRule>
    <cfRule type="colorScale" priority="7">
      <colorScale>
        <cfvo type="min"/>
        <cfvo type="percentile" val="50"/>
        <cfvo type="max"/>
        <color rgb="FFF8696B"/>
        <color rgb="FFFFEB84"/>
        <color rgb="FF63BE7B"/>
      </colorScale>
    </cfRule>
  </conditionalFormatting>
  <conditionalFormatting sqref="L2:L86 L87:M87">
    <cfRule type="containsText" dxfId="7" priority="1" operator="containsText" text="Onsite">
      <formula>NOT(ISERROR(SEARCH("Onsite",L2)))</formula>
    </cfRule>
    <cfRule type="containsText" dxfId="6" priority="2" operator="containsText" text="Hybrid">
      <formula>NOT(ISERROR(SEARCH("Hybrid",L2)))</formula>
    </cfRule>
    <cfRule type="containsText" dxfId="5" priority="3" operator="containsText" text="/">
      <formula>NOT(ISERROR(SEARCH("/",L2)))</formula>
    </cfRule>
    <cfRule type="containsText" dxfId="4" priority="4" operator="containsText" text="Off">
      <formula>NOT(ISERROR(SEARCH("Off",L2)))</formula>
    </cfRule>
    <cfRule type="containsText" dxfId="3" priority="5" operator="containsText" text="On">
      <formula>NOT(ISERROR(SEARCH("On",L2)))</formula>
    </cfRule>
  </conditionalFormatting>
  <dataValidations count="2">
    <dataValidation type="list" allowBlank="1" showInputMessage="1" showErrorMessage="1" sqref="M2:M86" xr:uid="{4938CF31-903B-492A-82A7-8B8DA53109E6}">
      <formula1>#REF!</formula1>
    </dataValidation>
    <dataValidation type="list" allowBlank="1" showInputMessage="1" showErrorMessage="1" sqref="N2:N86 J2:L86" xr:uid="{A7D505CE-9EAC-4459-A2D0-8CECE422A33D}">
      <formula1>#REF!</formula1>
    </dataValidation>
  </dataValidation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93AA8-7300-4897-9AD6-75F3DB3A64A0}">
  <dimension ref="A1:N155"/>
  <sheetViews>
    <sheetView zoomScale="80" zoomScaleNormal="80" workbookViewId="0">
      <pane ySplit="1" topLeftCell="A119" activePane="bottomLeft" state="frozen"/>
      <selection pane="bottomLeft" activeCell="H130" sqref="H130"/>
    </sheetView>
  </sheetViews>
  <sheetFormatPr defaultRowHeight="14.5" x14ac:dyDescent="0.35"/>
  <cols>
    <col min="1" max="1" width="58.54296875" style="2" bestFit="1" customWidth="1"/>
    <col min="2" max="2" width="82.81640625" style="13" customWidth="1"/>
    <col min="3" max="3" width="16.453125" style="13" customWidth="1"/>
    <col min="4" max="4" width="14.453125" style="32" customWidth="1"/>
    <col min="5" max="5" width="15.81640625" style="32" customWidth="1"/>
    <col min="6" max="6" width="17.54296875" style="32" customWidth="1"/>
    <col min="7" max="7" width="7.54296875" style="32" customWidth="1"/>
    <col min="8" max="8" width="17.81640625" style="32" customWidth="1"/>
    <col min="9" max="9" width="11.1796875" style="9" customWidth="1"/>
    <col min="10" max="10" width="9.81640625" style="3" customWidth="1"/>
    <col min="11" max="11" width="13.26953125" style="3" customWidth="1"/>
    <col min="12" max="13" width="17" style="24" customWidth="1"/>
    <col min="14" max="14" width="13.1796875" style="24" customWidth="1"/>
  </cols>
  <sheetData>
    <row r="1" spans="1:14" s="24" customFormat="1" ht="29" x14ac:dyDescent="0.35">
      <c r="A1" s="29" t="s">
        <v>0</v>
      </c>
      <c r="B1" s="21" t="s">
        <v>1</v>
      </c>
      <c r="C1" s="21" t="s">
        <v>2</v>
      </c>
      <c r="D1" s="21" t="s">
        <v>3</v>
      </c>
      <c r="E1" s="21" t="s">
        <v>4</v>
      </c>
      <c r="F1" s="21" t="s">
        <v>5</v>
      </c>
      <c r="G1" s="21" t="s">
        <v>6</v>
      </c>
      <c r="H1" s="21" t="s">
        <v>7</v>
      </c>
      <c r="I1" s="21" t="s">
        <v>8</v>
      </c>
      <c r="J1" s="21" t="s">
        <v>9</v>
      </c>
      <c r="K1" s="21" t="s">
        <v>10</v>
      </c>
      <c r="L1" s="21" t="s">
        <v>11</v>
      </c>
      <c r="M1" s="21" t="s">
        <v>227</v>
      </c>
      <c r="N1" s="21" t="s">
        <v>12</v>
      </c>
    </row>
    <row r="2" spans="1:14" x14ac:dyDescent="0.35">
      <c r="A2" s="11" t="s">
        <v>228</v>
      </c>
      <c r="B2" s="12"/>
      <c r="C2" s="12"/>
      <c r="D2" s="7"/>
      <c r="E2" s="7"/>
      <c r="F2" s="7"/>
      <c r="G2" s="7"/>
      <c r="H2" s="7"/>
      <c r="I2" s="10"/>
      <c r="J2" s="22"/>
      <c r="K2" s="22"/>
      <c r="L2" s="23"/>
      <c r="M2" s="23"/>
      <c r="N2" s="23"/>
    </row>
    <row r="3" spans="1:14" ht="72.5" x14ac:dyDescent="0.35">
      <c r="A3" s="2" t="s">
        <v>190</v>
      </c>
      <c r="B3" s="13" t="s">
        <v>191</v>
      </c>
      <c r="C3" s="13" t="s">
        <v>192</v>
      </c>
      <c r="D3" s="9">
        <v>1</v>
      </c>
      <c r="E3" s="9">
        <v>1</v>
      </c>
      <c r="F3" s="9">
        <v>1</v>
      </c>
      <c r="G3" s="9">
        <v>1</v>
      </c>
      <c r="H3" s="9">
        <v>1</v>
      </c>
      <c r="I3" s="9" t="s">
        <v>16</v>
      </c>
      <c r="J3" s="3">
        <v>10</v>
      </c>
      <c r="K3" s="3" t="s">
        <v>17</v>
      </c>
      <c r="L3" s="24" t="s">
        <v>229</v>
      </c>
      <c r="M3" s="24" t="s">
        <v>193</v>
      </c>
      <c r="N3" s="24">
        <f t="shared" ref="N3:N21" si="0">SUM(D3:H3)</f>
        <v>5</v>
      </c>
    </row>
    <row r="4" spans="1:14" ht="43.5" x14ac:dyDescent="0.35">
      <c r="A4" s="2" t="s">
        <v>194</v>
      </c>
      <c r="B4" s="13" t="s">
        <v>195</v>
      </c>
      <c r="C4" s="13" t="s">
        <v>162</v>
      </c>
      <c r="D4" s="9">
        <v>1</v>
      </c>
      <c r="E4" s="9">
        <v>1</v>
      </c>
      <c r="F4" s="9">
        <v>1</v>
      </c>
      <c r="G4" s="9">
        <v>1</v>
      </c>
      <c r="H4" s="9">
        <v>1</v>
      </c>
      <c r="I4" s="9" t="s">
        <v>16</v>
      </c>
      <c r="J4" s="3">
        <v>5</v>
      </c>
      <c r="K4" s="3" t="s">
        <v>17</v>
      </c>
      <c r="L4" s="24" t="s">
        <v>229</v>
      </c>
      <c r="M4" s="24" t="s">
        <v>193</v>
      </c>
      <c r="N4" s="24">
        <f t="shared" si="0"/>
        <v>5</v>
      </c>
    </row>
    <row r="5" spans="1:14" ht="58" x14ac:dyDescent="0.35">
      <c r="A5" s="2" t="s">
        <v>13</v>
      </c>
      <c r="B5" s="13" t="s">
        <v>14</v>
      </c>
      <c r="C5" s="13" t="s">
        <v>15</v>
      </c>
      <c r="D5" s="9">
        <v>1</v>
      </c>
      <c r="E5" s="9"/>
      <c r="F5" s="9"/>
      <c r="G5" s="9"/>
      <c r="H5" s="9"/>
      <c r="I5" s="9" t="s">
        <v>16</v>
      </c>
      <c r="J5" s="3">
        <v>5</v>
      </c>
      <c r="K5" s="3" t="s">
        <v>17</v>
      </c>
      <c r="L5" s="24" t="s">
        <v>18</v>
      </c>
      <c r="M5" s="24" t="s">
        <v>18</v>
      </c>
      <c r="N5" s="24">
        <f t="shared" si="0"/>
        <v>1</v>
      </c>
    </row>
    <row r="6" spans="1:14" ht="58" x14ac:dyDescent="0.35">
      <c r="A6" s="2" t="s">
        <v>19</v>
      </c>
      <c r="B6" s="13" t="s">
        <v>20</v>
      </c>
      <c r="C6" s="13" t="s">
        <v>15</v>
      </c>
      <c r="D6" s="9">
        <v>1</v>
      </c>
      <c r="E6" s="9">
        <v>1</v>
      </c>
      <c r="F6" s="9"/>
      <c r="G6" s="9"/>
      <c r="H6" s="9"/>
      <c r="I6" s="9" t="s">
        <v>16</v>
      </c>
      <c r="J6" s="3">
        <v>5</v>
      </c>
      <c r="K6" s="3" t="s">
        <v>17</v>
      </c>
      <c r="L6" s="24" t="s">
        <v>18</v>
      </c>
      <c r="M6" s="24" t="s">
        <v>18</v>
      </c>
      <c r="N6" s="24">
        <f t="shared" si="0"/>
        <v>2</v>
      </c>
    </row>
    <row r="7" spans="1:14" ht="43.5" x14ac:dyDescent="0.35">
      <c r="A7" s="2" t="s">
        <v>21</v>
      </c>
      <c r="B7" s="13" t="s">
        <v>22</v>
      </c>
      <c r="C7" s="13" t="s">
        <v>15</v>
      </c>
      <c r="D7" s="9">
        <v>1</v>
      </c>
      <c r="E7" s="9">
        <v>1</v>
      </c>
      <c r="F7" s="9"/>
      <c r="G7" s="9"/>
      <c r="H7" s="9"/>
      <c r="I7" s="9" t="s">
        <v>16</v>
      </c>
      <c r="J7" s="3">
        <v>5</v>
      </c>
      <c r="K7" s="3" t="s">
        <v>17</v>
      </c>
      <c r="L7" s="24" t="s">
        <v>18</v>
      </c>
      <c r="M7" s="24" t="s">
        <v>18</v>
      </c>
      <c r="N7" s="24">
        <f t="shared" si="0"/>
        <v>2</v>
      </c>
    </row>
    <row r="8" spans="1:14" ht="72.5" x14ac:dyDescent="0.35">
      <c r="A8" s="2" t="s">
        <v>53</v>
      </c>
      <c r="B8" s="13" t="s">
        <v>54</v>
      </c>
      <c r="C8" s="13" t="s">
        <v>43</v>
      </c>
      <c r="D8" s="9">
        <v>1</v>
      </c>
      <c r="E8" s="9"/>
      <c r="F8" s="9">
        <v>1</v>
      </c>
      <c r="G8" s="9"/>
      <c r="H8" s="9">
        <v>1</v>
      </c>
      <c r="I8" s="9" t="s">
        <v>16</v>
      </c>
      <c r="J8" s="3">
        <v>5</v>
      </c>
      <c r="K8" s="3" t="s">
        <v>17</v>
      </c>
      <c r="L8" s="24" t="s">
        <v>55</v>
      </c>
      <c r="M8" s="24" t="s">
        <v>55</v>
      </c>
      <c r="N8" s="24">
        <f t="shared" si="0"/>
        <v>3</v>
      </c>
    </row>
    <row r="9" spans="1:14" ht="58" x14ac:dyDescent="0.35">
      <c r="A9" s="33" t="s">
        <v>176</v>
      </c>
      <c r="B9" s="13" t="s">
        <v>177</v>
      </c>
      <c r="C9" s="13" t="s">
        <v>43</v>
      </c>
      <c r="D9" s="9">
        <v>1</v>
      </c>
      <c r="E9" s="9"/>
      <c r="F9" s="9"/>
      <c r="G9" s="9"/>
      <c r="H9" s="9"/>
      <c r="I9" s="9" t="s">
        <v>16</v>
      </c>
      <c r="J9" s="3">
        <v>5</v>
      </c>
      <c r="K9" s="3" t="s">
        <v>17</v>
      </c>
      <c r="L9" s="24" t="s">
        <v>230</v>
      </c>
      <c r="M9" s="24" t="s">
        <v>178</v>
      </c>
      <c r="N9" s="24">
        <f t="shared" si="0"/>
        <v>1</v>
      </c>
    </row>
    <row r="10" spans="1:14" ht="58" x14ac:dyDescent="0.35">
      <c r="A10" s="2" t="s">
        <v>179</v>
      </c>
      <c r="B10" s="13" t="s">
        <v>180</v>
      </c>
      <c r="C10" s="13" t="s">
        <v>15</v>
      </c>
      <c r="D10" s="9">
        <v>1</v>
      </c>
      <c r="E10" s="9">
        <v>1</v>
      </c>
      <c r="F10" s="9"/>
      <c r="G10" s="9"/>
      <c r="H10" s="9"/>
      <c r="I10" s="9" t="s">
        <v>16</v>
      </c>
      <c r="J10" s="3">
        <v>5</v>
      </c>
      <c r="K10" s="3" t="s">
        <v>17</v>
      </c>
      <c r="L10" s="24" t="s">
        <v>231</v>
      </c>
      <c r="M10" s="24" t="s">
        <v>178</v>
      </c>
      <c r="N10" s="24">
        <f t="shared" si="0"/>
        <v>2</v>
      </c>
    </row>
    <row r="11" spans="1:14" ht="43.5" x14ac:dyDescent="0.35">
      <c r="A11" s="2" t="s">
        <v>181</v>
      </c>
      <c r="B11" s="13" t="s">
        <v>182</v>
      </c>
      <c r="C11" s="13" t="s">
        <v>43</v>
      </c>
      <c r="D11" s="9">
        <v>1</v>
      </c>
      <c r="E11" s="9"/>
      <c r="F11" s="9"/>
      <c r="G11" s="9"/>
      <c r="H11" s="9"/>
      <c r="I11" s="9" t="s">
        <v>16</v>
      </c>
      <c r="J11" s="3">
        <v>5</v>
      </c>
      <c r="K11" s="3" t="s">
        <v>17</v>
      </c>
      <c r="L11" s="24" t="s">
        <v>232</v>
      </c>
      <c r="M11" s="24" t="s">
        <v>178</v>
      </c>
      <c r="N11" s="24">
        <f t="shared" si="0"/>
        <v>1</v>
      </c>
    </row>
    <row r="12" spans="1:14" ht="43.5" x14ac:dyDescent="0.35">
      <c r="A12" s="2" t="s">
        <v>183</v>
      </c>
      <c r="B12" s="13" t="s">
        <v>184</v>
      </c>
      <c r="C12" s="13" t="s">
        <v>43</v>
      </c>
      <c r="D12" s="9">
        <v>1</v>
      </c>
      <c r="E12" s="9"/>
      <c r="F12" s="9"/>
      <c r="G12" s="9"/>
      <c r="H12" s="9"/>
      <c r="I12" s="9" t="s">
        <v>16</v>
      </c>
      <c r="J12" s="3">
        <v>5</v>
      </c>
      <c r="K12" s="3" t="s">
        <v>17</v>
      </c>
      <c r="L12" s="24" t="s">
        <v>232</v>
      </c>
      <c r="M12" s="24" t="s">
        <v>178</v>
      </c>
      <c r="N12" s="24">
        <f t="shared" si="0"/>
        <v>1</v>
      </c>
    </row>
    <row r="13" spans="1:14" ht="58" x14ac:dyDescent="0.35">
      <c r="A13" s="2" t="s">
        <v>196</v>
      </c>
      <c r="B13" s="13" t="s">
        <v>197</v>
      </c>
      <c r="C13" s="13" t="s">
        <v>162</v>
      </c>
      <c r="D13" s="9"/>
      <c r="E13" s="9">
        <v>1</v>
      </c>
      <c r="F13" s="9">
        <v>1</v>
      </c>
      <c r="G13" s="9">
        <v>1</v>
      </c>
      <c r="H13" s="9">
        <v>1</v>
      </c>
      <c r="I13" s="9" t="s">
        <v>16</v>
      </c>
      <c r="J13" s="3">
        <v>5</v>
      </c>
      <c r="K13" s="3" t="s">
        <v>17</v>
      </c>
      <c r="L13" s="24" t="s">
        <v>229</v>
      </c>
      <c r="M13" s="24" t="s">
        <v>193</v>
      </c>
      <c r="N13" s="24">
        <f t="shared" si="0"/>
        <v>4</v>
      </c>
    </row>
    <row r="14" spans="1:14" ht="58" x14ac:dyDescent="0.35">
      <c r="A14" s="2" t="s">
        <v>198</v>
      </c>
      <c r="B14" s="13" t="s">
        <v>199</v>
      </c>
      <c r="C14" s="13" t="s">
        <v>200</v>
      </c>
      <c r="D14" s="9">
        <v>1</v>
      </c>
      <c r="E14" s="9">
        <v>1</v>
      </c>
      <c r="F14" s="9">
        <v>1</v>
      </c>
      <c r="G14" s="9">
        <v>1</v>
      </c>
      <c r="H14" s="9">
        <v>1</v>
      </c>
      <c r="I14" s="9" t="s">
        <v>46</v>
      </c>
      <c r="J14" s="3">
        <v>2</v>
      </c>
      <c r="K14" s="3" t="s">
        <v>17</v>
      </c>
      <c r="L14" s="24" t="s">
        <v>229</v>
      </c>
      <c r="M14" s="24" t="s">
        <v>193</v>
      </c>
      <c r="N14" s="24">
        <f t="shared" si="0"/>
        <v>5</v>
      </c>
    </row>
    <row r="15" spans="1:14" ht="29" x14ac:dyDescent="0.35">
      <c r="A15" s="14" t="s">
        <v>185</v>
      </c>
      <c r="B15" s="15" t="s">
        <v>186</v>
      </c>
      <c r="C15" s="15" t="s">
        <v>15</v>
      </c>
      <c r="D15" s="9">
        <v>1</v>
      </c>
      <c r="E15" s="9">
        <v>1</v>
      </c>
      <c r="F15" s="9">
        <v>1</v>
      </c>
      <c r="G15" s="9"/>
      <c r="H15" s="9"/>
      <c r="I15" s="9" t="s">
        <v>16</v>
      </c>
      <c r="J15" s="3">
        <v>2</v>
      </c>
      <c r="K15" s="3" t="s">
        <v>17</v>
      </c>
      <c r="L15" s="24" t="s">
        <v>233</v>
      </c>
      <c r="M15" s="24" t="s">
        <v>178</v>
      </c>
      <c r="N15" s="24">
        <f t="shared" si="0"/>
        <v>3</v>
      </c>
    </row>
    <row r="16" spans="1:14" ht="58" x14ac:dyDescent="0.35">
      <c r="A16" s="14" t="s">
        <v>187</v>
      </c>
      <c r="B16" s="15" t="s">
        <v>188</v>
      </c>
      <c r="C16" s="15" t="s">
        <v>189</v>
      </c>
      <c r="D16" s="9">
        <v>1</v>
      </c>
      <c r="E16" s="9"/>
      <c r="F16" s="9">
        <v>1</v>
      </c>
      <c r="G16" s="9"/>
      <c r="H16" s="9">
        <v>1</v>
      </c>
      <c r="I16" s="9" t="s">
        <v>16</v>
      </c>
      <c r="J16" s="3">
        <v>5</v>
      </c>
      <c r="K16" s="3" t="s">
        <v>17</v>
      </c>
      <c r="L16" s="24" t="s">
        <v>234</v>
      </c>
      <c r="M16" s="24" t="s">
        <v>178</v>
      </c>
      <c r="N16" s="24">
        <f t="shared" si="0"/>
        <v>3</v>
      </c>
    </row>
    <row r="17" spans="1:14" ht="43.5" x14ac:dyDescent="0.35">
      <c r="A17" s="14" t="s">
        <v>235</v>
      </c>
      <c r="B17" s="15" t="s">
        <v>201</v>
      </c>
      <c r="C17" s="15" t="s">
        <v>15</v>
      </c>
      <c r="D17" s="9">
        <v>1</v>
      </c>
      <c r="E17" s="9"/>
      <c r="F17" s="9">
        <v>1</v>
      </c>
      <c r="G17" s="9">
        <v>1</v>
      </c>
      <c r="H17" s="9">
        <v>1</v>
      </c>
      <c r="I17" s="9" t="s">
        <v>73</v>
      </c>
      <c r="J17" s="3">
        <v>2</v>
      </c>
      <c r="K17" s="3" t="s">
        <v>17</v>
      </c>
      <c r="L17" s="24" t="s">
        <v>236</v>
      </c>
      <c r="M17" s="24" t="s">
        <v>193</v>
      </c>
      <c r="N17" s="24">
        <f t="shared" si="0"/>
        <v>4</v>
      </c>
    </row>
    <row r="18" spans="1:14" ht="43.5" x14ac:dyDescent="0.35">
      <c r="A18" s="2" t="s">
        <v>202</v>
      </c>
      <c r="B18" s="13" t="s">
        <v>203</v>
      </c>
      <c r="C18" s="13" t="s">
        <v>72</v>
      </c>
      <c r="D18" s="9">
        <v>1</v>
      </c>
      <c r="E18" s="9">
        <v>1</v>
      </c>
      <c r="F18" s="9">
        <v>1</v>
      </c>
      <c r="G18" s="9">
        <v>1</v>
      </c>
      <c r="H18" s="9">
        <v>1</v>
      </c>
      <c r="I18" s="9" t="s">
        <v>73</v>
      </c>
      <c r="J18" s="3">
        <v>1</v>
      </c>
      <c r="K18" s="3" t="s">
        <v>17</v>
      </c>
      <c r="L18" s="24" t="s">
        <v>237</v>
      </c>
      <c r="M18" s="24" t="s">
        <v>193</v>
      </c>
      <c r="N18" s="24">
        <f t="shared" si="0"/>
        <v>5</v>
      </c>
    </row>
    <row r="19" spans="1:14" ht="43.5" x14ac:dyDescent="0.35">
      <c r="A19" s="2" t="s">
        <v>204</v>
      </c>
      <c r="B19" s="13" t="s">
        <v>205</v>
      </c>
      <c r="C19" s="13" t="s">
        <v>162</v>
      </c>
      <c r="D19" s="9"/>
      <c r="E19" s="9"/>
      <c r="F19" s="9"/>
      <c r="G19" s="9">
        <v>1</v>
      </c>
      <c r="H19" s="9">
        <v>1</v>
      </c>
      <c r="I19" s="9" t="s">
        <v>16</v>
      </c>
      <c r="J19" s="3">
        <v>5</v>
      </c>
      <c r="K19" s="3" t="s">
        <v>17</v>
      </c>
      <c r="L19" s="24" t="s">
        <v>229</v>
      </c>
      <c r="M19" s="24" t="s">
        <v>193</v>
      </c>
      <c r="N19" s="24">
        <f t="shared" si="0"/>
        <v>2</v>
      </c>
    </row>
    <row r="20" spans="1:14" ht="43.5" x14ac:dyDescent="0.35">
      <c r="A20" s="2" t="s">
        <v>206</v>
      </c>
      <c r="B20" s="13" t="s">
        <v>207</v>
      </c>
      <c r="C20" s="13" t="s">
        <v>200</v>
      </c>
      <c r="D20" s="9"/>
      <c r="E20" s="9">
        <v>1</v>
      </c>
      <c r="F20" s="9">
        <v>1</v>
      </c>
      <c r="G20" s="9">
        <v>1</v>
      </c>
      <c r="H20" s="9">
        <v>1</v>
      </c>
      <c r="I20" s="9" t="s">
        <v>73</v>
      </c>
      <c r="J20" s="3">
        <v>2</v>
      </c>
      <c r="K20" s="3" t="s">
        <v>36</v>
      </c>
      <c r="L20" s="24" t="s">
        <v>229</v>
      </c>
      <c r="M20" s="24" t="s">
        <v>193</v>
      </c>
      <c r="N20" s="24">
        <f t="shared" si="0"/>
        <v>4</v>
      </c>
    </row>
    <row r="21" spans="1:14" ht="58" x14ac:dyDescent="0.35">
      <c r="A21" s="2" t="s">
        <v>208</v>
      </c>
      <c r="B21" s="13" t="s">
        <v>209</v>
      </c>
      <c r="C21" s="13" t="s">
        <v>15</v>
      </c>
      <c r="D21" s="9">
        <v>1</v>
      </c>
      <c r="E21" s="9">
        <v>1</v>
      </c>
      <c r="F21" s="9">
        <v>1</v>
      </c>
      <c r="G21" s="9">
        <v>1</v>
      </c>
      <c r="H21" s="9">
        <v>1</v>
      </c>
      <c r="I21" s="9" t="s">
        <v>73</v>
      </c>
      <c r="J21" s="3">
        <v>5</v>
      </c>
      <c r="K21" s="3" t="s">
        <v>36</v>
      </c>
      <c r="L21" s="24" t="s">
        <v>238</v>
      </c>
      <c r="M21" s="24" t="s">
        <v>193</v>
      </c>
      <c r="N21" s="24">
        <f t="shared" si="0"/>
        <v>5</v>
      </c>
    </row>
    <row r="22" spans="1:14" x14ac:dyDescent="0.35">
      <c r="A22" s="11" t="s">
        <v>239</v>
      </c>
      <c r="B22" s="12"/>
      <c r="C22" s="12"/>
      <c r="D22" s="10"/>
      <c r="E22" s="10"/>
      <c r="F22" s="10"/>
      <c r="G22" s="10"/>
      <c r="H22" s="10"/>
      <c r="I22" s="7"/>
      <c r="J22" s="22"/>
      <c r="K22" s="22"/>
      <c r="L22" s="23"/>
      <c r="M22" s="23"/>
      <c r="N22" s="23"/>
    </row>
    <row r="23" spans="1:14" ht="43.5" x14ac:dyDescent="0.35">
      <c r="A23" s="2" t="s">
        <v>23</v>
      </c>
      <c r="B23" s="13" t="s">
        <v>24</v>
      </c>
      <c r="C23" s="13" t="s">
        <v>15</v>
      </c>
      <c r="D23" s="9">
        <v>1</v>
      </c>
      <c r="E23" s="9"/>
      <c r="F23" s="9"/>
      <c r="G23" s="9"/>
      <c r="H23" s="9">
        <v>1</v>
      </c>
      <c r="I23" s="9" t="s">
        <v>16</v>
      </c>
      <c r="J23" s="3">
        <v>5</v>
      </c>
      <c r="K23" s="3" t="s">
        <v>17</v>
      </c>
      <c r="L23" s="24" t="s">
        <v>18</v>
      </c>
      <c r="M23" s="24" t="s">
        <v>18</v>
      </c>
      <c r="N23" s="24">
        <f>SUM(D23:H23)</f>
        <v>2</v>
      </c>
    </row>
    <row r="24" spans="1:14" ht="43.5" x14ac:dyDescent="0.35">
      <c r="A24" s="2" t="s">
        <v>25</v>
      </c>
      <c r="B24" s="13" t="s">
        <v>26</v>
      </c>
      <c r="C24" s="13" t="s">
        <v>27</v>
      </c>
      <c r="D24" s="9">
        <v>1</v>
      </c>
      <c r="E24" s="9"/>
      <c r="F24" s="9"/>
      <c r="G24" s="9"/>
      <c r="H24" s="9"/>
      <c r="I24" s="9" t="s">
        <v>28</v>
      </c>
      <c r="J24" s="3">
        <v>5</v>
      </c>
      <c r="K24" s="3" t="s">
        <v>29</v>
      </c>
      <c r="L24" s="24" t="s">
        <v>18</v>
      </c>
      <c r="M24" s="24" t="s">
        <v>18</v>
      </c>
      <c r="N24" s="24">
        <f>SUM(D24:H24)</f>
        <v>1</v>
      </c>
    </row>
    <row r="25" spans="1:14" ht="43.5" x14ac:dyDescent="0.35">
      <c r="A25" s="2" t="s">
        <v>30</v>
      </c>
      <c r="B25" s="13" t="s">
        <v>31</v>
      </c>
      <c r="C25" s="13" t="s">
        <v>27</v>
      </c>
      <c r="D25" s="9">
        <v>1</v>
      </c>
      <c r="E25" s="9"/>
      <c r="F25" s="9"/>
      <c r="G25" s="9"/>
      <c r="H25" s="9"/>
      <c r="I25" s="9" t="s">
        <v>28</v>
      </c>
      <c r="J25" s="3">
        <v>5</v>
      </c>
      <c r="K25" s="3" t="s">
        <v>29</v>
      </c>
      <c r="L25" s="24" t="s">
        <v>18</v>
      </c>
      <c r="M25" s="24" t="s">
        <v>18</v>
      </c>
      <c r="N25" s="24">
        <f>SUM(D25:H25)</f>
        <v>1</v>
      </c>
    </row>
    <row r="26" spans="1:14" ht="29" x14ac:dyDescent="0.35">
      <c r="A26" s="2" t="s">
        <v>32</v>
      </c>
      <c r="B26" s="13" t="s">
        <v>33</v>
      </c>
      <c r="C26" s="13" t="s">
        <v>27</v>
      </c>
      <c r="D26" s="9">
        <v>1</v>
      </c>
      <c r="E26" s="9"/>
      <c r="F26" s="9"/>
      <c r="G26" s="9"/>
      <c r="H26" s="9"/>
      <c r="I26" s="9" t="s">
        <v>28</v>
      </c>
      <c r="J26" s="3">
        <v>5</v>
      </c>
      <c r="K26" s="3" t="s">
        <v>29</v>
      </c>
      <c r="L26" s="24" t="s">
        <v>18</v>
      </c>
      <c r="M26" s="24" t="s">
        <v>18</v>
      </c>
      <c r="N26" s="24">
        <f>SUM(D26:H26)</f>
        <v>1</v>
      </c>
    </row>
    <row r="27" spans="1:14" ht="29" x14ac:dyDescent="0.35">
      <c r="A27" s="2" t="s">
        <v>34</v>
      </c>
      <c r="B27" s="13" t="s">
        <v>35</v>
      </c>
      <c r="C27" s="13" t="s">
        <v>15</v>
      </c>
      <c r="D27" s="9">
        <v>1</v>
      </c>
      <c r="E27" s="9"/>
      <c r="F27" s="9">
        <v>1</v>
      </c>
      <c r="G27" s="9"/>
      <c r="H27" s="9">
        <v>1</v>
      </c>
      <c r="I27" s="9" t="s">
        <v>16</v>
      </c>
      <c r="J27" s="3">
        <v>5</v>
      </c>
      <c r="K27" s="3" t="s">
        <v>36</v>
      </c>
      <c r="L27" s="24" t="s">
        <v>18</v>
      </c>
      <c r="M27" s="24" t="s">
        <v>18</v>
      </c>
      <c r="N27" s="24">
        <f>SUM(D27:H27)</f>
        <v>3</v>
      </c>
    </row>
    <row r="28" spans="1:14" x14ac:dyDescent="0.35">
      <c r="A28" s="16" t="s">
        <v>240</v>
      </c>
      <c r="B28" s="17"/>
      <c r="C28" s="17"/>
      <c r="D28" s="10"/>
      <c r="E28" s="10"/>
      <c r="F28" s="10"/>
      <c r="G28" s="10"/>
      <c r="H28" s="10"/>
      <c r="I28" s="10"/>
      <c r="J28" s="22"/>
      <c r="K28" s="22"/>
      <c r="L28" s="23"/>
      <c r="M28" s="23"/>
      <c r="N28" s="23"/>
    </row>
    <row r="29" spans="1:14" ht="29" x14ac:dyDescent="0.35">
      <c r="A29" s="2" t="s">
        <v>102</v>
      </c>
      <c r="B29" s="13" t="s">
        <v>103</v>
      </c>
      <c r="C29" s="13" t="s">
        <v>79</v>
      </c>
      <c r="D29" s="9"/>
      <c r="E29" s="9">
        <v>1</v>
      </c>
      <c r="F29" s="9"/>
      <c r="G29" s="9"/>
      <c r="H29" s="9"/>
      <c r="I29" s="9" t="s">
        <v>46</v>
      </c>
      <c r="J29" s="3">
        <v>5</v>
      </c>
      <c r="K29" s="3" t="s">
        <v>17</v>
      </c>
      <c r="L29" s="24" t="s">
        <v>241</v>
      </c>
      <c r="M29" s="24" t="s">
        <v>104</v>
      </c>
      <c r="N29" s="24">
        <f t="shared" ref="N29:N39" si="1">SUM(D29:H29)</f>
        <v>1</v>
      </c>
    </row>
    <row r="30" spans="1:14" ht="29" x14ac:dyDescent="0.35">
      <c r="A30" s="2" t="s">
        <v>105</v>
      </c>
      <c r="B30" s="13" t="s">
        <v>106</v>
      </c>
      <c r="C30" s="13" t="s">
        <v>72</v>
      </c>
      <c r="D30" s="9"/>
      <c r="E30" s="9">
        <v>1</v>
      </c>
      <c r="F30" s="9"/>
      <c r="G30" s="9"/>
      <c r="H30" s="9"/>
      <c r="I30" s="9" t="s">
        <v>73</v>
      </c>
      <c r="J30" s="3">
        <v>1</v>
      </c>
      <c r="K30" s="3" t="s">
        <v>17</v>
      </c>
      <c r="L30" s="24" t="s">
        <v>242</v>
      </c>
      <c r="M30" s="24" t="s">
        <v>104</v>
      </c>
      <c r="N30" s="24">
        <f t="shared" si="1"/>
        <v>1</v>
      </c>
    </row>
    <row r="31" spans="1:14" ht="43.5" x14ac:dyDescent="0.35">
      <c r="A31" s="2" t="s">
        <v>107</v>
      </c>
      <c r="B31" s="13" t="s">
        <v>108</v>
      </c>
      <c r="C31" s="13" t="s">
        <v>72</v>
      </c>
      <c r="D31" s="9"/>
      <c r="E31" s="9">
        <v>1</v>
      </c>
      <c r="F31" s="9"/>
      <c r="G31" s="9"/>
      <c r="H31" s="9"/>
      <c r="I31" s="9" t="s">
        <v>73</v>
      </c>
      <c r="J31" s="3">
        <v>1</v>
      </c>
      <c r="K31" s="3" t="s">
        <v>17</v>
      </c>
      <c r="L31" s="24" t="s">
        <v>242</v>
      </c>
      <c r="M31" s="24" t="s">
        <v>104</v>
      </c>
      <c r="N31" s="24">
        <f t="shared" si="1"/>
        <v>1</v>
      </c>
    </row>
    <row r="32" spans="1:14" ht="29" x14ac:dyDescent="0.35">
      <c r="A32" s="2" t="s">
        <v>56</v>
      </c>
      <c r="B32" s="13" t="s">
        <v>57</v>
      </c>
      <c r="C32" s="13" t="s">
        <v>15</v>
      </c>
      <c r="D32" s="9"/>
      <c r="E32" s="9">
        <v>1</v>
      </c>
      <c r="F32" s="9"/>
      <c r="G32" s="9"/>
      <c r="H32" s="9"/>
      <c r="I32" s="9" t="s">
        <v>46</v>
      </c>
      <c r="J32" s="3">
        <v>2</v>
      </c>
      <c r="K32" s="3" t="s">
        <v>17</v>
      </c>
      <c r="L32" s="24" t="s">
        <v>243</v>
      </c>
      <c r="M32" s="24" t="s">
        <v>55</v>
      </c>
      <c r="N32" s="24">
        <f t="shared" si="1"/>
        <v>1</v>
      </c>
    </row>
    <row r="33" spans="1:14" ht="29" x14ac:dyDescent="0.35">
      <c r="A33" s="2" t="s">
        <v>109</v>
      </c>
      <c r="B33" s="13" t="s">
        <v>110</v>
      </c>
      <c r="C33" s="13" t="s">
        <v>111</v>
      </c>
      <c r="D33" s="9"/>
      <c r="E33" s="9">
        <v>1</v>
      </c>
      <c r="F33" s="9"/>
      <c r="G33" s="9"/>
      <c r="H33" s="9"/>
      <c r="I33" s="9" t="s">
        <v>46</v>
      </c>
      <c r="J33" s="3">
        <v>5</v>
      </c>
      <c r="K33" s="3" t="s">
        <v>17</v>
      </c>
      <c r="L33" s="24" t="s">
        <v>229</v>
      </c>
      <c r="M33" s="24" t="s">
        <v>104</v>
      </c>
      <c r="N33" s="24">
        <f t="shared" si="1"/>
        <v>1</v>
      </c>
    </row>
    <row r="34" spans="1:14" ht="43.5" x14ac:dyDescent="0.35">
      <c r="A34" s="2" t="s">
        <v>112</v>
      </c>
      <c r="B34" s="13" t="s">
        <v>113</v>
      </c>
      <c r="C34" s="13" t="s">
        <v>111</v>
      </c>
      <c r="D34" s="9"/>
      <c r="E34" s="9">
        <v>1</v>
      </c>
      <c r="F34" s="9"/>
      <c r="G34" s="9"/>
      <c r="H34" s="9"/>
      <c r="I34" s="9" t="s">
        <v>73</v>
      </c>
      <c r="J34" s="3">
        <v>5</v>
      </c>
      <c r="K34" s="3" t="s">
        <v>17</v>
      </c>
      <c r="L34" s="24" t="s">
        <v>229</v>
      </c>
      <c r="M34" s="24" t="s">
        <v>104</v>
      </c>
      <c r="N34" s="24">
        <f t="shared" si="1"/>
        <v>1</v>
      </c>
    </row>
    <row r="35" spans="1:14" ht="29" x14ac:dyDescent="0.35">
      <c r="A35" s="2" t="s">
        <v>114</v>
      </c>
      <c r="B35" s="13" t="s">
        <v>115</v>
      </c>
      <c r="C35" s="13" t="s">
        <v>72</v>
      </c>
      <c r="D35" s="9"/>
      <c r="E35" s="9">
        <v>1</v>
      </c>
      <c r="F35" s="9"/>
      <c r="G35" s="9"/>
      <c r="H35" s="9"/>
      <c r="I35" s="9" t="s">
        <v>73</v>
      </c>
      <c r="J35" s="3">
        <v>1</v>
      </c>
      <c r="K35" s="3" t="s">
        <v>17</v>
      </c>
      <c r="L35" s="24" t="s">
        <v>242</v>
      </c>
      <c r="M35" s="24" t="s">
        <v>104</v>
      </c>
      <c r="N35" s="24">
        <f t="shared" si="1"/>
        <v>1</v>
      </c>
    </row>
    <row r="36" spans="1:14" ht="29" x14ac:dyDescent="0.35">
      <c r="A36" s="2" t="s">
        <v>160</v>
      </c>
      <c r="B36" s="13" t="s">
        <v>161</v>
      </c>
      <c r="C36" s="13" t="s">
        <v>162</v>
      </c>
      <c r="D36" s="9"/>
      <c r="E36" s="9">
        <v>1</v>
      </c>
      <c r="F36" s="9"/>
      <c r="G36" s="9"/>
      <c r="H36" s="9"/>
      <c r="I36" s="9" t="s">
        <v>73</v>
      </c>
      <c r="J36" s="3">
        <v>5</v>
      </c>
      <c r="K36" s="3" t="s">
        <v>17</v>
      </c>
      <c r="L36" s="24" t="s">
        <v>229</v>
      </c>
      <c r="M36" s="24" t="s">
        <v>163</v>
      </c>
      <c r="N36" s="24">
        <f t="shared" si="1"/>
        <v>1</v>
      </c>
    </row>
    <row r="37" spans="1:14" ht="29" x14ac:dyDescent="0.35">
      <c r="A37" s="2" t="s">
        <v>70</v>
      </c>
      <c r="B37" s="13" t="s">
        <v>71</v>
      </c>
      <c r="C37" s="13" t="s">
        <v>72</v>
      </c>
      <c r="D37" s="9"/>
      <c r="E37" s="9">
        <v>1</v>
      </c>
      <c r="F37" s="9"/>
      <c r="G37" s="9"/>
      <c r="H37" s="9"/>
      <c r="I37" s="9" t="s">
        <v>73</v>
      </c>
      <c r="J37" s="3">
        <v>1</v>
      </c>
      <c r="K37" s="3" t="s">
        <v>17</v>
      </c>
      <c r="L37" s="24" t="s">
        <v>237</v>
      </c>
      <c r="M37" s="24" t="s">
        <v>5</v>
      </c>
      <c r="N37" s="24">
        <f t="shared" si="1"/>
        <v>1</v>
      </c>
    </row>
    <row r="38" spans="1:14" ht="43.5" x14ac:dyDescent="0.35">
      <c r="A38" s="2" t="s">
        <v>164</v>
      </c>
      <c r="B38" s="13" t="s">
        <v>165</v>
      </c>
      <c r="C38" s="13" t="s">
        <v>162</v>
      </c>
      <c r="D38" s="9"/>
      <c r="E38" s="9">
        <v>1</v>
      </c>
      <c r="F38" s="9"/>
      <c r="G38" s="9"/>
      <c r="H38" s="9"/>
      <c r="I38" s="9" t="s">
        <v>73</v>
      </c>
      <c r="J38" s="3">
        <v>5</v>
      </c>
      <c r="K38" s="3" t="s">
        <v>17</v>
      </c>
      <c r="L38" s="24" t="s">
        <v>229</v>
      </c>
      <c r="M38" s="24" t="s">
        <v>163</v>
      </c>
      <c r="N38" s="24">
        <f t="shared" si="1"/>
        <v>1</v>
      </c>
    </row>
    <row r="39" spans="1:14" ht="29" x14ac:dyDescent="0.35">
      <c r="A39" s="2" t="s">
        <v>116</v>
      </c>
      <c r="B39" s="13" t="s">
        <v>117</v>
      </c>
      <c r="C39" s="13" t="s">
        <v>72</v>
      </c>
      <c r="D39" s="9"/>
      <c r="E39" s="9">
        <v>1</v>
      </c>
      <c r="F39" s="9"/>
      <c r="G39" s="9"/>
      <c r="H39" s="9"/>
      <c r="I39" s="9" t="s">
        <v>73</v>
      </c>
      <c r="J39" s="3">
        <v>1</v>
      </c>
      <c r="K39" s="3" t="s">
        <v>17</v>
      </c>
      <c r="L39" s="24" t="s">
        <v>242</v>
      </c>
      <c r="M39" s="24" t="s">
        <v>104</v>
      </c>
      <c r="N39" s="24">
        <f t="shared" si="1"/>
        <v>1</v>
      </c>
    </row>
    <row r="40" spans="1:14" x14ac:dyDescent="0.35">
      <c r="A40" s="5" t="s">
        <v>244</v>
      </c>
      <c r="B40" s="18"/>
      <c r="C40" s="18"/>
      <c r="D40" s="10"/>
      <c r="E40" s="10"/>
      <c r="F40" s="10"/>
      <c r="G40" s="10"/>
      <c r="H40" s="10"/>
      <c r="I40" s="10"/>
      <c r="J40" s="22"/>
      <c r="K40" s="22"/>
      <c r="L40" s="23"/>
      <c r="M40" s="23"/>
      <c r="N40" s="23"/>
    </row>
    <row r="41" spans="1:14" ht="58" x14ac:dyDescent="0.35">
      <c r="A41" s="33" t="s">
        <v>74</v>
      </c>
      <c r="B41" s="13" t="s">
        <v>75</v>
      </c>
      <c r="C41" s="13" t="s">
        <v>76</v>
      </c>
      <c r="D41" s="9"/>
      <c r="E41" s="9">
        <v>1</v>
      </c>
      <c r="F41" s="9">
        <v>1</v>
      </c>
      <c r="G41" s="9"/>
      <c r="H41" s="9">
        <v>1</v>
      </c>
      <c r="I41" s="9" t="s">
        <v>73</v>
      </c>
      <c r="J41" s="3">
        <v>1</v>
      </c>
      <c r="K41" s="3" t="s">
        <v>17</v>
      </c>
      <c r="L41" s="24" t="s">
        <v>245</v>
      </c>
      <c r="M41" s="24" t="s">
        <v>5</v>
      </c>
      <c r="N41" s="24">
        <f t="shared" ref="N41:N60" si="2">SUM(D41:H41)</f>
        <v>3</v>
      </c>
    </row>
    <row r="42" spans="1:14" ht="43.5" x14ac:dyDescent="0.35">
      <c r="A42" s="2" t="s">
        <v>77</v>
      </c>
      <c r="B42" s="13" t="s">
        <v>78</v>
      </c>
      <c r="C42" s="13" t="s">
        <v>79</v>
      </c>
      <c r="D42" s="9"/>
      <c r="E42" s="9">
        <v>1</v>
      </c>
      <c r="F42" s="9">
        <v>1</v>
      </c>
      <c r="G42" s="9"/>
      <c r="H42" s="9"/>
      <c r="I42" s="9" t="s">
        <v>73</v>
      </c>
      <c r="J42" s="3">
        <v>1</v>
      </c>
      <c r="K42" s="3" t="s">
        <v>17</v>
      </c>
      <c r="L42" s="24" t="s">
        <v>246</v>
      </c>
      <c r="M42" s="24" t="s">
        <v>5</v>
      </c>
      <c r="N42" s="24">
        <f t="shared" si="2"/>
        <v>2</v>
      </c>
    </row>
    <row r="43" spans="1:14" ht="43.5" x14ac:dyDescent="0.35">
      <c r="A43" s="2" t="s">
        <v>118</v>
      </c>
      <c r="B43" s="13" t="s">
        <v>119</v>
      </c>
      <c r="C43" s="13" t="s">
        <v>15</v>
      </c>
      <c r="D43" s="9"/>
      <c r="E43" s="9">
        <v>1</v>
      </c>
      <c r="F43" s="9">
        <v>1</v>
      </c>
      <c r="G43" s="9"/>
      <c r="H43" s="9"/>
      <c r="I43" s="9" t="s">
        <v>73</v>
      </c>
      <c r="J43" s="3">
        <v>1</v>
      </c>
      <c r="K43" s="3" t="s">
        <v>17</v>
      </c>
      <c r="L43" s="24" t="s">
        <v>247</v>
      </c>
      <c r="M43" s="24" t="s">
        <v>104</v>
      </c>
      <c r="N43" s="24">
        <f t="shared" si="2"/>
        <v>2</v>
      </c>
    </row>
    <row r="44" spans="1:14" ht="29" x14ac:dyDescent="0.35">
      <c r="A44" s="2" t="s">
        <v>120</v>
      </c>
      <c r="B44" s="13" t="s">
        <v>121</v>
      </c>
      <c r="C44" s="13" t="s">
        <v>43</v>
      </c>
      <c r="D44" s="9"/>
      <c r="E44" s="9">
        <v>1</v>
      </c>
      <c r="F44" s="9">
        <v>1</v>
      </c>
      <c r="G44" s="9"/>
      <c r="H44" s="9"/>
      <c r="I44" s="9" t="s">
        <v>73</v>
      </c>
      <c r="J44" s="3">
        <v>2</v>
      </c>
      <c r="K44" s="3" t="s">
        <v>36</v>
      </c>
      <c r="L44" s="24" t="s">
        <v>247</v>
      </c>
      <c r="M44" s="24" t="s">
        <v>104</v>
      </c>
      <c r="N44" s="24">
        <f t="shared" si="2"/>
        <v>2</v>
      </c>
    </row>
    <row r="45" spans="1:14" ht="43.5" x14ac:dyDescent="0.35">
      <c r="A45" s="33" t="s">
        <v>122</v>
      </c>
      <c r="B45" s="13" t="s">
        <v>123</v>
      </c>
      <c r="C45" s="13" t="s">
        <v>124</v>
      </c>
      <c r="D45" s="9"/>
      <c r="E45" s="9">
        <v>1</v>
      </c>
      <c r="F45" s="9">
        <v>1</v>
      </c>
      <c r="G45" s="9"/>
      <c r="H45" s="9"/>
      <c r="I45" s="9" t="s">
        <v>73</v>
      </c>
      <c r="J45" s="3">
        <v>1</v>
      </c>
      <c r="K45" s="3" t="s">
        <v>36</v>
      </c>
      <c r="L45" s="24" t="s">
        <v>247</v>
      </c>
      <c r="M45" s="24" t="s">
        <v>104</v>
      </c>
      <c r="N45" s="24">
        <f t="shared" si="2"/>
        <v>2</v>
      </c>
    </row>
    <row r="46" spans="1:14" ht="29" x14ac:dyDescent="0.35">
      <c r="A46" s="2" t="s">
        <v>125</v>
      </c>
      <c r="B46" s="13" t="s">
        <v>126</v>
      </c>
      <c r="C46" s="13" t="s">
        <v>124</v>
      </c>
      <c r="D46" s="9"/>
      <c r="E46" s="9">
        <v>1</v>
      </c>
      <c r="F46" s="9">
        <v>1</v>
      </c>
      <c r="G46" s="9"/>
      <c r="H46" s="9"/>
      <c r="I46" s="9" t="s">
        <v>73</v>
      </c>
      <c r="J46" s="3">
        <v>1</v>
      </c>
      <c r="K46" s="3" t="s">
        <v>36</v>
      </c>
      <c r="L46" s="24" t="s">
        <v>247</v>
      </c>
      <c r="M46" s="24" t="s">
        <v>104</v>
      </c>
      <c r="N46" s="24">
        <f t="shared" si="2"/>
        <v>2</v>
      </c>
    </row>
    <row r="47" spans="1:14" ht="43.5" x14ac:dyDescent="0.35">
      <c r="A47" s="2" t="s">
        <v>80</v>
      </c>
      <c r="B47" s="13" t="s">
        <v>81</v>
      </c>
      <c r="C47" s="13" t="s">
        <v>43</v>
      </c>
      <c r="D47" s="9"/>
      <c r="E47" s="9">
        <v>1</v>
      </c>
      <c r="F47" s="9">
        <v>1</v>
      </c>
      <c r="G47" s="9"/>
      <c r="H47" s="9"/>
      <c r="I47" s="9" t="s">
        <v>46</v>
      </c>
      <c r="J47" s="3">
        <v>2</v>
      </c>
      <c r="K47" s="3" t="s">
        <v>36</v>
      </c>
      <c r="L47" s="24" t="s">
        <v>243</v>
      </c>
      <c r="M47" s="24" t="s">
        <v>5</v>
      </c>
      <c r="N47" s="24">
        <f t="shared" si="2"/>
        <v>2</v>
      </c>
    </row>
    <row r="48" spans="1:14" ht="87" x14ac:dyDescent="0.35">
      <c r="A48" s="34" t="s">
        <v>82</v>
      </c>
      <c r="B48" s="13" t="s">
        <v>83</v>
      </c>
      <c r="C48" s="13" t="s">
        <v>84</v>
      </c>
      <c r="D48" s="9"/>
      <c r="E48" s="9"/>
      <c r="F48" s="9">
        <v>1</v>
      </c>
      <c r="G48" s="9">
        <v>1</v>
      </c>
      <c r="H48" s="9">
        <v>1</v>
      </c>
      <c r="I48" s="9" t="s">
        <v>16</v>
      </c>
      <c r="J48" s="3">
        <v>5</v>
      </c>
      <c r="K48" s="3" t="s">
        <v>36</v>
      </c>
      <c r="L48" s="24" t="s">
        <v>243</v>
      </c>
      <c r="M48" s="24" t="s">
        <v>5</v>
      </c>
      <c r="N48" s="24">
        <f t="shared" si="2"/>
        <v>3</v>
      </c>
    </row>
    <row r="49" spans="1:14" ht="29" x14ac:dyDescent="0.35">
      <c r="A49" s="2" t="s">
        <v>85</v>
      </c>
      <c r="B49" s="13" t="s">
        <v>86</v>
      </c>
      <c r="C49" s="13" t="s">
        <v>79</v>
      </c>
      <c r="D49" s="9"/>
      <c r="E49" s="9">
        <v>1</v>
      </c>
      <c r="F49" s="9"/>
      <c r="G49" s="9"/>
      <c r="H49" s="9"/>
      <c r="I49" s="9" t="s">
        <v>46</v>
      </c>
      <c r="J49" s="3">
        <v>1</v>
      </c>
      <c r="K49" s="3" t="s">
        <v>29</v>
      </c>
      <c r="L49" s="24" t="s">
        <v>242</v>
      </c>
      <c r="M49" s="24" t="s">
        <v>5</v>
      </c>
      <c r="N49" s="24">
        <f t="shared" si="2"/>
        <v>1</v>
      </c>
    </row>
    <row r="50" spans="1:14" ht="43.5" x14ac:dyDescent="0.35">
      <c r="A50" s="2" t="s">
        <v>87</v>
      </c>
      <c r="B50" s="13" t="s">
        <v>88</v>
      </c>
      <c r="C50" s="13" t="s">
        <v>15</v>
      </c>
      <c r="D50" s="9"/>
      <c r="E50" s="9">
        <v>1</v>
      </c>
      <c r="F50" s="9">
        <v>1</v>
      </c>
      <c r="G50" s="9"/>
      <c r="H50" s="9"/>
      <c r="I50" s="9" t="s">
        <v>73</v>
      </c>
      <c r="J50" s="3">
        <v>1</v>
      </c>
      <c r="K50" s="3" t="s">
        <v>36</v>
      </c>
      <c r="L50" s="24" t="s">
        <v>247</v>
      </c>
      <c r="M50" s="24" t="s">
        <v>5</v>
      </c>
      <c r="N50" s="24">
        <f t="shared" si="2"/>
        <v>2</v>
      </c>
    </row>
    <row r="51" spans="1:14" ht="58" x14ac:dyDescent="0.35">
      <c r="A51" s="2" t="s">
        <v>89</v>
      </c>
      <c r="B51" s="13" t="s">
        <v>90</v>
      </c>
      <c r="C51" s="13" t="s">
        <v>15</v>
      </c>
      <c r="D51" s="9"/>
      <c r="E51" s="9">
        <v>1</v>
      </c>
      <c r="F51" s="9">
        <v>1</v>
      </c>
      <c r="G51" s="9"/>
      <c r="H51" s="9"/>
      <c r="I51" s="9" t="s">
        <v>73</v>
      </c>
      <c r="J51" s="3">
        <v>1</v>
      </c>
      <c r="K51" s="3" t="s">
        <v>36</v>
      </c>
      <c r="L51" s="24" t="s">
        <v>247</v>
      </c>
      <c r="M51" s="24" t="s">
        <v>5</v>
      </c>
      <c r="N51" s="24">
        <f t="shared" si="2"/>
        <v>2</v>
      </c>
    </row>
    <row r="52" spans="1:14" ht="47.5" customHeight="1" x14ac:dyDescent="0.35">
      <c r="A52" s="2" t="s">
        <v>91</v>
      </c>
      <c r="B52" s="13" t="s">
        <v>92</v>
      </c>
      <c r="C52" s="13" t="s">
        <v>15</v>
      </c>
      <c r="D52" s="9"/>
      <c r="E52" s="9">
        <v>1</v>
      </c>
      <c r="F52" s="9">
        <v>1</v>
      </c>
      <c r="G52" s="9"/>
      <c r="H52" s="9"/>
      <c r="I52" s="9" t="s">
        <v>73</v>
      </c>
      <c r="J52" s="3">
        <v>1</v>
      </c>
      <c r="K52" s="3" t="s">
        <v>36</v>
      </c>
      <c r="L52" s="24" t="s">
        <v>247</v>
      </c>
      <c r="M52" s="24" t="s">
        <v>5</v>
      </c>
      <c r="N52" s="24">
        <f t="shared" si="2"/>
        <v>2</v>
      </c>
    </row>
    <row r="53" spans="1:14" ht="58" x14ac:dyDescent="0.35">
      <c r="A53" s="2" t="s">
        <v>93</v>
      </c>
      <c r="B53" s="13" t="s">
        <v>94</v>
      </c>
      <c r="C53" s="13" t="s">
        <v>43</v>
      </c>
      <c r="D53" s="9"/>
      <c r="E53" s="9">
        <v>1</v>
      </c>
      <c r="F53" s="9">
        <v>1</v>
      </c>
      <c r="G53" s="9">
        <v>1</v>
      </c>
      <c r="H53" s="9"/>
      <c r="I53" s="9" t="s">
        <v>73</v>
      </c>
      <c r="J53" s="3">
        <v>1</v>
      </c>
      <c r="K53" s="3" t="s">
        <v>29</v>
      </c>
      <c r="L53" s="24" t="s">
        <v>243</v>
      </c>
      <c r="M53" s="24" t="s">
        <v>5</v>
      </c>
      <c r="N53" s="24">
        <f t="shared" si="2"/>
        <v>3</v>
      </c>
    </row>
    <row r="54" spans="1:14" ht="58" x14ac:dyDescent="0.35">
      <c r="A54" s="2" t="s">
        <v>95</v>
      </c>
      <c r="B54" s="13" t="s">
        <v>96</v>
      </c>
      <c r="C54" s="13" t="s">
        <v>97</v>
      </c>
      <c r="D54" s="9"/>
      <c r="E54" s="9">
        <v>1</v>
      </c>
      <c r="F54" s="9">
        <v>1</v>
      </c>
      <c r="G54" s="9">
        <v>1</v>
      </c>
      <c r="H54" s="9"/>
      <c r="I54" s="9" t="s">
        <v>46</v>
      </c>
      <c r="J54" s="3">
        <v>2</v>
      </c>
      <c r="K54" s="3" t="s">
        <v>36</v>
      </c>
      <c r="L54" s="24" t="s">
        <v>248</v>
      </c>
      <c r="M54" s="24" t="s">
        <v>5</v>
      </c>
      <c r="N54" s="24">
        <f t="shared" si="2"/>
        <v>3</v>
      </c>
    </row>
    <row r="55" spans="1:14" ht="58" x14ac:dyDescent="0.35">
      <c r="A55" s="2" t="s">
        <v>166</v>
      </c>
      <c r="B55" s="13" t="s">
        <v>167</v>
      </c>
      <c r="C55" s="13" t="s">
        <v>43</v>
      </c>
      <c r="D55" s="9"/>
      <c r="E55" s="9">
        <v>1</v>
      </c>
      <c r="F55" s="9">
        <v>1</v>
      </c>
      <c r="G55" s="9">
        <v>1</v>
      </c>
      <c r="H55" s="9">
        <v>1</v>
      </c>
      <c r="I55" s="9" t="s">
        <v>73</v>
      </c>
      <c r="J55" s="3">
        <v>2</v>
      </c>
      <c r="K55" s="3" t="s">
        <v>36</v>
      </c>
      <c r="L55" s="24" t="s">
        <v>243</v>
      </c>
      <c r="M55" s="24" t="s">
        <v>163</v>
      </c>
      <c r="N55" s="24">
        <f t="shared" si="2"/>
        <v>4</v>
      </c>
    </row>
    <row r="56" spans="1:14" ht="58" x14ac:dyDescent="0.35">
      <c r="A56" s="2" t="s">
        <v>168</v>
      </c>
      <c r="B56" s="13" t="s">
        <v>169</v>
      </c>
      <c r="C56" s="13" t="s">
        <v>43</v>
      </c>
      <c r="D56" s="9"/>
      <c r="E56" s="9"/>
      <c r="F56" s="9"/>
      <c r="G56" s="9">
        <v>1</v>
      </c>
      <c r="H56" s="9"/>
      <c r="I56" s="9" t="s">
        <v>46</v>
      </c>
      <c r="J56" s="3">
        <v>2</v>
      </c>
      <c r="K56" s="3" t="s">
        <v>29</v>
      </c>
      <c r="L56" s="24" t="s">
        <v>243</v>
      </c>
      <c r="M56" s="24" t="s">
        <v>163</v>
      </c>
      <c r="N56" s="24">
        <f t="shared" si="2"/>
        <v>1</v>
      </c>
    </row>
    <row r="57" spans="1:14" ht="58" x14ac:dyDescent="0.35">
      <c r="A57" s="2" t="s">
        <v>98</v>
      </c>
      <c r="B57" s="13" t="s">
        <v>99</v>
      </c>
      <c r="C57" s="13" t="s">
        <v>27</v>
      </c>
      <c r="D57" s="9"/>
      <c r="E57" s="9">
        <v>1</v>
      </c>
      <c r="F57" s="9">
        <v>1</v>
      </c>
      <c r="G57" s="9"/>
      <c r="H57" s="9">
        <v>1</v>
      </c>
      <c r="I57" s="9" t="s">
        <v>73</v>
      </c>
      <c r="J57" s="3">
        <v>5</v>
      </c>
      <c r="K57" s="3" t="s">
        <v>29</v>
      </c>
      <c r="L57" s="24" t="s">
        <v>247</v>
      </c>
      <c r="M57" s="24" t="s">
        <v>5</v>
      </c>
      <c r="N57" s="24">
        <f t="shared" si="2"/>
        <v>3</v>
      </c>
    </row>
    <row r="58" spans="1:14" ht="58" x14ac:dyDescent="0.35">
      <c r="A58" s="2" t="s">
        <v>170</v>
      </c>
      <c r="B58" s="13" t="s">
        <v>171</v>
      </c>
      <c r="C58" s="13" t="s">
        <v>15</v>
      </c>
      <c r="D58" s="9"/>
      <c r="E58" s="9">
        <v>1</v>
      </c>
      <c r="F58" s="9">
        <v>1</v>
      </c>
      <c r="G58" s="9"/>
      <c r="H58" s="9"/>
      <c r="I58" s="9" t="s">
        <v>73</v>
      </c>
      <c r="J58" s="3">
        <v>2</v>
      </c>
      <c r="K58" s="3" t="s">
        <v>29</v>
      </c>
      <c r="L58" s="24" t="s">
        <v>238</v>
      </c>
      <c r="M58" s="24" t="s">
        <v>163</v>
      </c>
      <c r="N58" s="24">
        <f t="shared" si="2"/>
        <v>2</v>
      </c>
    </row>
    <row r="59" spans="1:14" ht="58" x14ac:dyDescent="0.35">
      <c r="A59" s="2" t="s">
        <v>172</v>
      </c>
      <c r="B59" s="13" t="s">
        <v>173</v>
      </c>
      <c r="C59" s="13" t="s">
        <v>43</v>
      </c>
      <c r="D59" s="9"/>
      <c r="E59" s="9">
        <v>1</v>
      </c>
      <c r="F59" s="9">
        <v>1</v>
      </c>
      <c r="G59" s="9">
        <v>1</v>
      </c>
      <c r="H59" s="9"/>
      <c r="I59" s="9" t="s">
        <v>73</v>
      </c>
      <c r="J59" s="3">
        <v>2</v>
      </c>
      <c r="K59" s="3" t="s">
        <v>29</v>
      </c>
      <c r="L59" s="24" t="s">
        <v>243</v>
      </c>
      <c r="M59" s="24" t="s">
        <v>163</v>
      </c>
      <c r="N59" s="24">
        <f t="shared" si="2"/>
        <v>3</v>
      </c>
    </row>
    <row r="60" spans="1:14" ht="87" x14ac:dyDescent="0.35">
      <c r="A60" s="34" t="s">
        <v>174</v>
      </c>
      <c r="B60" s="13" t="s">
        <v>175</v>
      </c>
      <c r="C60" s="13" t="s">
        <v>43</v>
      </c>
      <c r="D60" s="9"/>
      <c r="E60" s="9"/>
      <c r="F60" s="9">
        <v>1</v>
      </c>
      <c r="G60" s="9">
        <v>1</v>
      </c>
      <c r="H60" s="9">
        <v>1</v>
      </c>
      <c r="I60" s="9" t="s">
        <v>16</v>
      </c>
      <c r="J60" s="3">
        <v>2</v>
      </c>
      <c r="K60" s="3" t="s">
        <v>36</v>
      </c>
      <c r="L60" s="24" t="s">
        <v>243</v>
      </c>
      <c r="M60" s="24" t="s">
        <v>163</v>
      </c>
      <c r="N60" s="24">
        <f t="shared" si="2"/>
        <v>3</v>
      </c>
    </row>
    <row r="61" spans="1:14" x14ac:dyDescent="0.35">
      <c r="A61" s="11" t="s">
        <v>249</v>
      </c>
      <c r="B61" s="12"/>
      <c r="C61" s="12"/>
      <c r="D61" s="30"/>
      <c r="E61" s="30"/>
      <c r="F61" s="30"/>
      <c r="G61" s="30"/>
      <c r="H61" s="30"/>
      <c r="I61" s="10"/>
      <c r="J61" s="25"/>
      <c r="K61" s="25"/>
      <c r="L61" s="23"/>
      <c r="M61" s="23"/>
      <c r="N61" s="23"/>
    </row>
    <row r="62" spans="1:14" ht="29" x14ac:dyDescent="0.35">
      <c r="A62" s="2" t="s">
        <v>58</v>
      </c>
      <c r="B62" s="13" t="s">
        <v>59</v>
      </c>
      <c r="C62" s="13" t="s">
        <v>43</v>
      </c>
      <c r="D62" s="9">
        <v>1</v>
      </c>
      <c r="E62" s="9">
        <v>1</v>
      </c>
      <c r="F62" s="9">
        <v>1</v>
      </c>
      <c r="G62" s="9"/>
      <c r="H62" s="9"/>
      <c r="I62" s="9" t="s">
        <v>16</v>
      </c>
      <c r="J62" s="3">
        <v>5</v>
      </c>
      <c r="K62" s="3" t="s">
        <v>17</v>
      </c>
      <c r="L62" s="24" t="s">
        <v>55</v>
      </c>
      <c r="M62" s="24" t="s">
        <v>55</v>
      </c>
      <c r="N62" s="24">
        <f t="shared" ref="N62:N67" si="3">SUM(D62:H62)</f>
        <v>3</v>
      </c>
    </row>
    <row r="63" spans="1:14" ht="29" x14ac:dyDescent="0.35">
      <c r="A63" s="2" t="s">
        <v>60</v>
      </c>
      <c r="B63" s="13" t="s">
        <v>61</v>
      </c>
      <c r="C63" s="13" t="s">
        <v>43</v>
      </c>
      <c r="D63" s="9">
        <v>1</v>
      </c>
      <c r="E63" s="9">
        <v>1</v>
      </c>
      <c r="F63" s="9"/>
      <c r="G63" s="9"/>
      <c r="H63" s="9"/>
      <c r="I63" s="9" t="s">
        <v>16</v>
      </c>
      <c r="J63" s="3">
        <v>5</v>
      </c>
      <c r="K63" s="3" t="s">
        <v>17</v>
      </c>
      <c r="L63" s="24" t="s">
        <v>55</v>
      </c>
      <c r="M63" s="24" t="s">
        <v>55</v>
      </c>
      <c r="N63" s="24">
        <f t="shared" si="3"/>
        <v>2</v>
      </c>
    </row>
    <row r="64" spans="1:14" ht="29" x14ac:dyDescent="0.35">
      <c r="A64" s="2" t="s">
        <v>62</v>
      </c>
      <c r="B64" s="13" t="s">
        <v>63</v>
      </c>
      <c r="C64" s="13" t="s">
        <v>43</v>
      </c>
      <c r="D64" s="9">
        <v>1</v>
      </c>
      <c r="E64" s="9">
        <v>1</v>
      </c>
      <c r="F64" s="9">
        <v>1</v>
      </c>
      <c r="G64" s="9">
        <v>1</v>
      </c>
      <c r="H64" s="9">
        <v>1</v>
      </c>
      <c r="I64" s="9" t="s">
        <v>16</v>
      </c>
      <c r="J64" s="3">
        <v>5</v>
      </c>
      <c r="K64" s="3" t="s">
        <v>36</v>
      </c>
      <c r="L64" s="24" t="s">
        <v>55</v>
      </c>
      <c r="M64" s="24" t="s">
        <v>55</v>
      </c>
      <c r="N64" s="24">
        <f t="shared" si="3"/>
        <v>5</v>
      </c>
    </row>
    <row r="65" spans="1:14" ht="43.5" x14ac:dyDescent="0.35">
      <c r="A65" s="2" t="s">
        <v>64</v>
      </c>
      <c r="B65" s="13" t="s">
        <v>65</v>
      </c>
      <c r="C65" s="13" t="s">
        <v>43</v>
      </c>
      <c r="D65" s="9">
        <v>1</v>
      </c>
      <c r="E65" s="9">
        <v>1</v>
      </c>
      <c r="F65" s="9">
        <v>1</v>
      </c>
      <c r="G65" s="9"/>
      <c r="H65" s="9">
        <v>1</v>
      </c>
      <c r="I65" s="9" t="s">
        <v>16</v>
      </c>
      <c r="J65" s="3">
        <v>5</v>
      </c>
      <c r="K65" s="3" t="s">
        <v>36</v>
      </c>
      <c r="L65" s="24" t="s">
        <v>55</v>
      </c>
      <c r="M65" s="24" t="s">
        <v>55</v>
      </c>
      <c r="N65" s="24">
        <f t="shared" si="3"/>
        <v>4</v>
      </c>
    </row>
    <row r="66" spans="1:14" ht="43.5" x14ac:dyDescent="0.35">
      <c r="A66" s="2" t="s">
        <v>100</v>
      </c>
      <c r="B66" s="13" t="s">
        <v>101</v>
      </c>
      <c r="C66" s="13" t="s">
        <v>43</v>
      </c>
      <c r="D66" s="9"/>
      <c r="E66" s="9"/>
      <c r="F66" s="9">
        <v>1</v>
      </c>
      <c r="G66" s="9"/>
      <c r="H66" s="9"/>
      <c r="I66" s="9" t="s">
        <v>16</v>
      </c>
      <c r="J66" s="3">
        <v>2</v>
      </c>
      <c r="K66" s="3" t="s">
        <v>36</v>
      </c>
      <c r="L66" s="24" t="s">
        <v>55</v>
      </c>
      <c r="M66" s="24" t="s">
        <v>5</v>
      </c>
      <c r="N66" s="24">
        <f t="shared" si="3"/>
        <v>1</v>
      </c>
    </row>
    <row r="67" spans="1:14" ht="58" x14ac:dyDescent="0.35">
      <c r="A67" s="2" t="s">
        <v>250</v>
      </c>
      <c r="B67" s="13" t="s">
        <v>66</v>
      </c>
      <c r="C67" s="13" t="s">
        <v>15</v>
      </c>
      <c r="D67" s="9"/>
      <c r="E67" s="9">
        <v>1</v>
      </c>
      <c r="F67" s="9">
        <v>1</v>
      </c>
      <c r="G67" s="9"/>
      <c r="H67" s="9"/>
      <c r="I67" s="9" t="s">
        <v>46</v>
      </c>
      <c r="J67" s="3">
        <v>2</v>
      </c>
      <c r="K67" s="3" t="s">
        <v>36</v>
      </c>
      <c r="L67" s="24" t="s">
        <v>55</v>
      </c>
      <c r="M67" s="24" t="s">
        <v>55</v>
      </c>
      <c r="N67" s="24">
        <f t="shared" si="3"/>
        <v>2</v>
      </c>
    </row>
    <row r="68" spans="1:14" x14ac:dyDescent="0.35">
      <c r="A68" s="11" t="s">
        <v>251</v>
      </c>
      <c r="B68" s="12"/>
      <c r="C68" s="12"/>
      <c r="D68" s="10"/>
      <c r="E68" s="10"/>
      <c r="F68" s="10"/>
      <c r="G68" s="10"/>
      <c r="H68" s="10"/>
      <c r="I68" s="10"/>
      <c r="J68" s="22"/>
      <c r="K68" s="22"/>
      <c r="L68" s="23"/>
      <c r="M68" s="23"/>
      <c r="N68" s="23"/>
    </row>
    <row r="69" spans="1:14" ht="29" x14ac:dyDescent="0.35">
      <c r="A69" s="33" t="s">
        <v>127</v>
      </c>
      <c r="B69" s="13" t="s">
        <v>128</v>
      </c>
      <c r="C69" s="13" t="s">
        <v>69</v>
      </c>
      <c r="D69" s="9"/>
      <c r="E69" s="9">
        <v>1</v>
      </c>
      <c r="F69" s="9">
        <v>1</v>
      </c>
      <c r="G69" s="9">
        <v>1</v>
      </c>
      <c r="H69" s="9">
        <v>1</v>
      </c>
      <c r="I69" s="9" t="s">
        <v>73</v>
      </c>
      <c r="J69" s="3">
        <v>10</v>
      </c>
      <c r="K69" s="3" t="s">
        <v>29</v>
      </c>
      <c r="L69" s="24" t="s">
        <v>252</v>
      </c>
      <c r="M69" s="24" t="s">
        <v>129</v>
      </c>
      <c r="N69" s="24">
        <f t="shared" ref="N69:N84" si="4">SUM(D69:H69)</f>
        <v>4</v>
      </c>
    </row>
    <row r="70" spans="1:14" ht="43.5" x14ac:dyDescent="0.35">
      <c r="A70" s="2" t="s">
        <v>130</v>
      </c>
      <c r="B70" s="13" t="s">
        <v>131</v>
      </c>
      <c r="C70" s="13" t="s">
        <v>43</v>
      </c>
      <c r="D70" s="9"/>
      <c r="E70" s="9">
        <v>1</v>
      </c>
      <c r="F70" s="9">
        <v>1</v>
      </c>
      <c r="G70" s="9">
        <v>1</v>
      </c>
      <c r="H70" s="9">
        <v>1</v>
      </c>
      <c r="I70" s="9" t="s">
        <v>73</v>
      </c>
      <c r="J70" s="3">
        <v>5</v>
      </c>
      <c r="K70" s="3" t="s">
        <v>29</v>
      </c>
      <c r="L70" s="24" t="s">
        <v>252</v>
      </c>
      <c r="M70" s="24" t="s">
        <v>129</v>
      </c>
      <c r="N70" s="24">
        <f t="shared" si="4"/>
        <v>4</v>
      </c>
    </row>
    <row r="71" spans="1:14" ht="43.5" x14ac:dyDescent="0.35">
      <c r="A71" s="2" t="s">
        <v>132</v>
      </c>
      <c r="B71" s="13" t="s">
        <v>133</v>
      </c>
      <c r="C71" s="13" t="s">
        <v>79</v>
      </c>
      <c r="D71" s="9"/>
      <c r="E71" s="9">
        <v>1</v>
      </c>
      <c r="F71" s="9">
        <v>1</v>
      </c>
      <c r="G71" s="9">
        <v>1</v>
      </c>
      <c r="H71" s="9">
        <v>1</v>
      </c>
      <c r="I71" s="9" t="s">
        <v>73</v>
      </c>
      <c r="J71" s="3">
        <v>1</v>
      </c>
      <c r="K71" s="3" t="s">
        <v>29</v>
      </c>
      <c r="L71" s="24" t="s">
        <v>252</v>
      </c>
      <c r="M71" s="24" t="s">
        <v>129</v>
      </c>
      <c r="N71" s="24">
        <f t="shared" si="4"/>
        <v>4</v>
      </c>
    </row>
    <row r="72" spans="1:14" ht="29" x14ac:dyDescent="0.35">
      <c r="A72" s="2" t="s">
        <v>134</v>
      </c>
      <c r="B72" s="13" t="s">
        <v>135</v>
      </c>
      <c r="C72" s="13" t="s">
        <v>15</v>
      </c>
      <c r="D72" s="9"/>
      <c r="E72" s="9">
        <v>1</v>
      </c>
      <c r="F72" s="9">
        <v>1</v>
      </c>
      <c r="G72" s="9">
        <v>1</v>
      </c>
      <c r="H72" s="9">
        <v>1</v>
      </c>
      <c r="I72" s="9" t="s">
        <v>16</v>
      </c>
      <c r="J72" s="3">
        <v>2</v>
      </c>
      <c r="K72" s="3" t="s">
        <v>29</v>
      </c>
      <c r="L72" s="24" t="s">
        <v>55</v>
      </c>
      <c r="M72" s="24" t="s">
        <v>129</v>
      </c>
      <c r="N72" s="24">
        <f t="shared" si="4"/>
        <v>4</v>
      </c>
    </row>
    <row r="73" spans="1:14" ht="43.5" x14ac:dyDescent="0.35">
      <c r="A73" s="2" t="s">
        <v>136</v>
      </c>
      <c r="B73" s="13" t="s">
        <v>137</v>
      </c>
      <c r="C73" s="13" t="s">
        <v>15</v>
      </c>
      <c r="D73" s="9"/>
      <c r="E73" s="9">
        <v>1</v>
      </c>
      <c r="F73" s="9">
        <v>1</v>
      </c>
      <c r="G73" s="9">
        <v>1</v>
      </c>
      <c r="H73" s="9">
        <v>1</v>
      </c>
      <c r="I73" s="9" t="s">
        <v>73</v>
      </c>
      <c r="J73" s="3">
        <v>5</v>
      </c>
      <c r="K73" s="3" t="s">
        <v>36</v>
      </c>
      <c r="L73" s="24" t="s">
        <v>252</v>
      </c>
      <c r="M73" s="24" t="s">
        <v>129</v>
      </c>
      <c r="N73" s="24">
        <f t="shared" si="4"/>
        <v>4</v>
      </c>
    </row>
    <row r="74" spans="1:14" ht="43.5" x14ac:dyDescent="0.35">
      <c r="A74" s="2" t="s">
        <v>138</v>
      </c>
      <c r="B74" s="13" t="s">
        <v>139</v>
      </c>
      <c r="C74" s="13" t="s">
        <v>43</v>
      </c>
      <c r="D74" s="9"/>
      <c r="E74" s="9">
        <v>1</v>
      </c>
      <c r="F74" s="9">
        <v>1</v>
      </c>
      <c r="G74" s="9">
        <v>1</v>
      </c>
      <c r="H74" s="9">
        <v>1</v>
      </c>
      <c r="I74" s="9" t="s">
        <v>73</v>
      </c>
      <c r="J74" s="3">
        <v>5</v>
      </c>
      <c r="K74" s="3" t="s">
        <v>36</v>
      </c>
      <c r="L74" s="24" t="s">
        <v>252</v>
      </c>
      <c r="M74" s="24" t="s">
        <v>129</v>
      </c>
      <c r="N74" s="24">
        <f t="shared" si="4"/>
        <v>4</v>
      </c>
    </row>
    <row r="75" spans="1:14" ht="58" x14ac:dyDescent="0.35">
      <c r="A75" s="2" t="s">
        <v>140</v>
      </c>
      <c r="B75" s="13" t="s">
        <v>141</v>
      </c>
      <c r="C75" s="13" t="s">
        <v>43</v>
      </c>
      <c r="D75" s="9"/>
      <c r="E75" s="9"/>
      <c r="F75" s="9">
        <v>1</v>
      </c>
      <c r="G75" s="9">
        <v>1</v>
      </c>
      <c r="H75" s="9"/>
      <c r="I75" s="9" t="s">
        <v>46</v>
      </c>
      <c r="J75" s="3">
        <v>2</v>
      </c>
      <c r="K75" s="3" t="s">
        <v>36</v>
      </c>
      <c r="L75" s="24" t="s">
        <v>253</v>
      </c>
      <c r="M75" s="24" t="s">
        <v>129</v>
      </c>
      <c r="N75" s="24">
        <f t="shared" si="4"/>
        <v>2</v>
      </c>
    </row>
    <row r="76" spans="1:14" ht="43.5" x14ac:dyDescent="0.35">
      <c r="A76" s="33" t="s">
        <v>142</v>
      </c>
      <c r="B76" s="13" t="s">
        <v>143</v>
      </c>
      <c r="C76" s="13" t="s">
        <v>144</v>
      </c>
      <c r="D76" s="9"/>
      <c r="E76" s="9"/>
      <c r="F76" s="9">
        <v>1</v>
      </c>
      <c r="G76" s="9">
        <v>1</v>
      </c>
      <c r="H76" s="9"/>
      <c r="I76" s="9" t="s">
        <v>73</v>
      </c>
      <c r="J76" s="3">
        <v>5</v>
      </c>
      <c r="K76" s="3" t="s">
        <v>29</v>
      </c>
      <c r="L76" s="24" t="s">
        <v>253</v>
      </c>
      <c r="M76" s="24" t="s">
        <v>129</v>
      </c>
      <c r="N76" s="24">
        <f t="shared" si="4"/>
        <v>2</v>
      </c>
    </row>
    <row r="77" spans="1:14" ht="29" x14ac:dyDescent="0.35">
      <c r="A77" s="2" t="s">
        <v>67</v>
      </c>
      <c r="B77" s="13" t="s">
        <v>68</v>
      </c>
      <c r="C77" s="13" t="s">
        <v>69</v>
      </c>
      <c r="D77" s="9"/>
      <c r="E77" s="9">
        <v>1</v>
      </c>
      <c r="F77" s="9">
        <v>1</v>
      </c>
      <c r="G77" s="9">
        <v>1</v>
      </c>
      <c r="H77" s="9">
        <v>1</v>
      </c>
      <c r="I77" s="9" t="s">
        <v>16</v>
      </c>
      <c r="J77" s="3">
        <v>2</v>
      </c>
      <c r="K77" s="3" t="s">
        <v>36</v>
      </c>
      <c r="L77" s="24" t="s">
        <v>55</v>
      </c>
      <c r="M77" s="24" t="s">
        <v>55</v>
      </c>
      <c r="N77" s="24">
        <f t="shared" si="4"/>
        <v>4</v>
      </c>
    </row>
    <row r="78" spans="1:14" ht="43.5" x14ac:dyDescent="0.35">
      <c r="A78" s="2" t="s">
        <v>145</v>
      </c>
      <c r="B78" s="13" t="s">
        <v>146</v>
      </c>
      <c r="C78" s="13" t="s">
        <v>147</v>
      </c>
      <c r="D78" s="9"/>
      <c r="E78" s="9">
        <v>1</v>
      </c>
      <c r="F78" s="9">
        <v>1</v>
      </c>
      <c r="G78" s="9">
        <v>1</v>
      </c>
      <c r="H78" s="9">
        <v>1</v>
      </c>
      <c r="I78" s="9" t="s">
        <v>73</v>
      </c>
      <c r="J78" s="3">
        <v>5</v>
      </c>
      <c r="K78" s="3" t="s">
        <v>17</v>
      </c>
      <c r="L78" s="24" t="s">
        <v>254</v>
      </c>
      <c r="M78" s="24" t="s">
        <v>129</v>
      </c>
      <c r="N78" s="24">
        <f t="shared" si="4"/>
        <v>4</v>
      </c>
    </row>
    <row r="79" spans="1:14" ht="43.5" x14ac:dyDescent="0.35">
      <c r="A79" s="2" t="s">
        <v>148</v>
      </c>
      <c r="B79" s="13" t="s">
        <v>149</v>
      </c>
      <c r="C79" s="13" t="s">
        <v>72</v>
      </c>
      <c r="D79" s="9"/>
      <c r="E79" s="9">
        <v>1</v>
      </c>
      <c r="F79" s="9">
        <v>1</v>
      </c>
      <c r="G79" s="9"/>
      <c r="H79" s="9">
        <v>1</v>
      </c>
      <c r="I79" s="9" t="s">
        <v>73</v>
      </c>
      <c r="J79" s="3">
        <v>1</v>
      </c>
      <c r="K79" s="3" t="s">
        <v>17</v>
      </c>
      <c r="L79" s="24" t="s">
        <v>254</v>
      </c>
      <c r="M79" s="24" t="s">
        <v>129</v>
      </c>
      <c r="N79" s="24">
        <f t="shared" si="4"/>
        <v>3</v>
      </c>
    </row>
    <row r="80" spans="1:14" ht="29" x14ac:dyDescent="0.35">
      <c r="A80" s="2" t="s">
        <v>150</v>
      </c>
      <c r="B80" s="13" t="s">
        <v>151</v>
      </c>
      <c r="C80" s="13" t="s">
        <v>27</v>
      </c>
      <c r="D80" s="9"/>
      <c r="E80" s="9">
        <v>1</v>
      </c>
      <c r="F80" s="9">
        <v>1</v>
      </c>
      <c r="G80" s="9">
        <v>1</v>
      </c>
      <c r="H80" s="9">
        <v>1</v>
      </c>
      <c r="I80" s="9" t="s">
        <v>73</v>
      </c>
      <c r="J80" s="3">
        <v>5</v>
      </c>
      <c r="K80" s="3" t="s">
        <v>17</v>
      </c>
      <c r="L80" s="24" t="s">
        <v>254</v>
      </c>
      <c r="M80" s="24" t="s">
        <v>129</v>
      </c>
      <c r="N80" s="24">
        <f t="shared" si="4"/>
        <v>4</v>
      </c>
    </row>
    <row r="81" spans="1:14" ht="29" x14ac:dyDescent="0.35">
      <c r="A81" s="2" t="s">
        <v>152</v>
      </c>
      <c r="B81" s="13" t="s">
        <v>153</v>
      </c>
      <c r="C81" s="13" t="s">
        <v>79</v>
      </c>
      <c r="D81" s="9"/>
      <c r="E81" s="9">
        <v>1</v>
      </c>
      <c r="F81" s="9">
        <v>1</v>
      </c>
      <c r="G81" s="9">
        <v>1</v>
      </c>
      <c r="H81" s="9">
        <v>1</v>
      </c>
      <c r="I81" s="9" t="s">
        <v>73</v>
      </c>
      <c r="J81" s="3">
        <v>2</v>
      </c>
      <c r="K81" s="3" t="s">
        <v>17</v>
      </c>
      <c r="L81" s="24" t="s">
        <v>254</v>
      </c>
      <c r="M81" s="24" t="s">
        <v>129</v>
      </c>
      <c r="N81" s="24">
        <f t="shared" si="4"/>
        <v>4</v>
      </c>
    </row>
    <row r="82" spans="1:14" ht="29" x14ac:dyDescent="0.35">
      <c r="A82" s="2" t="s">
        <v>154</v>
      </c>
      <c r="B82" s="13" t="s">
        <v>155</v>
      </c>
      <c r="C82" s="13" t="s">
        <v>72</v>
      </c>
      <c r="D82" s="9"/>
      <c r="E82" s="9">
        <v>1</v>
      </c>
      <c r="F82" s="9">
        <v>1</v>
      </c>
      <c r="G82" s="9">
        <v>1</v>
      </c>
      <c r="H82" s="9">
        <v>1</v>
      </c>
      <c r="I82" s="9" t="s">
        <v>73</v>
      </c>
      <c r="J82" s="3">
        <v>1</v>
      </c>
      <c r="K82" s="3" t="s">
        <v>17</v>
      </c>
      <c r="L82" s="24" t="s">
        <v>254</v>
      </c>
      <c r="M82" s="24" t="s">
        <v>129</v>
      </c>
      <c r="N82" s="24">
        <f t="shared" si="4"/>
        <v>4</v>
      </c>
    </row>
    <row r="83" spans="1:14" ht="43.5" x14ac:dyDescent="0.35">
      <c r="A83" s="2" t="s">
        <v>156</v>
      </c>
      <c r="B83" s="13" t="s">
        <v>157</v>
      </c>
      <c r="C83" s="13" t="s">
        <v>27</v>
      </c>
      <c r="D83" s="9">
        <v>1</v>
      </c>
      <c r="E83" s="9">
        <v>1</v>
      </c>
      <c r="F83" s="9">
        <v>1</v>
      </c>
      <c r="G83" s="9">
        <v>1</v>
      </c>
      <c r="H83" s="9">
        <v>1</v>
      </c>
      <c r="I83" s="9" t="s">
        <v>16</v>
      </c>
      <c r="J83" s="3">
        <v>5</v>
      </c>
      <c r="K83" s="3" t="s">
        <v>17</v>
      </c>
      <c r="L83" s="24" t="s">
        <v>254</v>
      </c>
      <c r="M83" s="24" t="s">
        <v>129</v>
      </c>
      <c r="N83" s="24">
        <f t="shared" si="4"/>
        <v>5</v>
      </c>
    </row>
    <row r="84" spans="1:14" ht="29" x14ac:dyDescent="0.35">
      <c r="A84" s="2" t="s">
        <v>158</v>
      </c>
      <c r="B84" s="13" t="s">
        <v>159</v>
      </c>
      <c r="C84" s="13" t="s">
        <v>79</v>
      </c>
      <c r="D84" s="9"/>
      <c r="E84" s="9"/>
      <c r="F84" s="9">
        <v>1</v>
      </c>
      <c r="G84" s="9">
        <v>1</v>
      </c>
      <c r="H84" s="9"/>
      <c r="I84" s="9" t="s">
        <v>46</v>
      </c>
      <c r="J84" s="3">
        <v>2</v>
      </c>
      <c r="K84" s="3" t="s">
        <v>17</v>
      </c>
      <c r="L84" s="24" t="s">
        <v>252</v>
      </c>
      <c r="M84" s="24" t="s">
        <v>129</v>
      </c>
      <c r="N84" s="24">
        <f t="shared" si="4"/>
        <v>2</v>
      </c>
    </row>
    <row r="85" spans="1:14" x14ac:dyDescent="0.35">
      <c r="A85" s="11" t="s">
        <v>255</v>
      </c>
      <c r="B85" s="12"/>
      <c r="C85" s="12"/>
      <c r="D85" s="10"/>
      <c r="E85" s="10"/>
      <c r="F85" s="10"/>
      <c r="G85" s="10"/>
      <c r="H85" s="10"/>
      <c r="I85" s="10"/>
      <c r="J85" s="22"/>
      <c r="K85" s="22"/>
      <c r="L85" s="23"/>
      <c r="M85" s="23"/>
      <c r="N85" s="23"/>
    </row>
    <row r="86" spans="1:14" ht="29" x14ac:dyDescent="0.35">
      <c r="A86" s="2" t="s">
        <v>37</v>
      </c>
      <c r="B86" s="13" t="s">
        <v>38</v>
      </c>
      <c r="C86" s="13" t="s">
        <v>39</v>
      </c>
      <c r="D86" s="9"/>
      <c r="E86" s="9"/>
      <c r="F86" s="9">
        <v>1</v>
      </c>
      <c r="G86" s="9">
        <v>1</v>
      </c>
      <c r="H86" s="9">
        <v>1</v>
      </c>
      <c r="I86" s="9" t="s">
        <v>16</v>
      </c>
      <c r="J86" s="3">
        <v>5</v>
      </c>
      <c r="K86" s="3" t="s">
        <v>17</v>
      </c>
      <c r="L86" s="24" t="s">
        <v>256</v>
      </c>
      <c r="M86" s="24" t="s">
        <v>40</v>
      </c>
      <c r="N86" s="24">
        <f t="shared" ref="N86:N91" si="5">SUM(D86:H86)</f>
        <v>3</v>
      </c>
    </row>
    <row r="87" spans="1:14" ht="43.5" x14ac:dyDescent="0.35">
      <c r="A87" s="2" t="s">
        <v>41</v>
      </c>
      <c r="B87" s="13" t="s">
        <v>42</v>
      </c>
      <c r="C87" s="13" t="s">
        <v>43</v>
      </c>
      <c r="D87" s="9">
        <v>1</v>
      </c>
      <c r="E87" s="9"/>
      <c r="F87" s="9"/>
      <c r="G87" s="9"/>
      <c r="H87" s="9"/>
      <c r="I87" s="9" t="s">
        <v>16</v>
      </c>
      <c r="J87" s="3">
        <v>2</v>
      </c>
      <c r="K87" s="3" t="s">
        <v>17</v>
      </c>
      <c r="L87" s="24" t="s">
        <v>256</v>
      </c>
      <c r="M87" s="24" t="s">
        <v>40</v>
      </c>
      <c r="N87" s="24">
        <f t="shared" si="5"/>
        <v>1</v>
      </c>
    </row>
    <row r="88" spans="1:14" ht="29" x14ac:dyDescent="0.35">
      <c r="A88" s="2" t="s">
        <v>257</v>
      </c>
      <c r="B88" s="13" t="s">
        <v>45</v>
      </c>
      <c r="C88" s="13" t="s">
        <v>15</v>
      </c>
      <c r="D88" s="9"/>
      <c r="E88" s="9"/>
      <c r="F88" s="9">
        <v>1</v>
      </c>
      <c r="G88" s="9">
        <v>1</v>
      </c>
      <c r="H88" s="9">
        <v>1</v>
      </c>
      <c r="I88" s="9" t="s">
        <v>46</v>
      </c>
      <c r="J88" s="3">
        <v>2</v>
      </c>
      <c r="K88" s="3" t="s">
        <v>17</v>
      </c>
      <c r="L88" s="24" t="s">
        <v>256</v>
      </c>
      <c r="M88" s="24" t="s">
        <v>40</v>
      </c>
      <c r="N88" s="24">
        <f t="shared" si="5"/>
        <v>3</v>
      </c>
    </row>
    <row r="89" spans="1:14" ht="29" x14ac:dyDescent="0.35">
      <c r="A89" s="2" t="s">
        <v>47</v>
      </c>
      <c r="B89" s="13" t="s">
        <v>48</v>
      </c>
      <c r="C89" s="13" t="s">
        <v>43</v>
      </c>
      <c r="D89" s="9"/>
      <c r="E89" s="9"/>
      <c r="F89" s="9">
        <v>1</v>
      </c>
      <c r="G89" s="9">
        <v>1</v>
      </c>
      <c r="H89" s="9"/>
      <c r="I89" s="9" t="s">
        <v>16</v>
      </c>
      <c r="J89" s="3">
        <v>2</v>
      </c>
      <c r="K89" s="3" t="s">
        <v>17</v>
      </c>
      <c r="L89" s="24" t="s">
        <v>256</v>
      </c>
      <c r="M89" s="24" t="s">
        <v>40</v>
      </c>
      <c r="N89" s="24">
        <f t="shared" si="5"/>
        <v>2</v>
      </c>
    </row>
    <row r="90" spans="1:14" ht="29" x14ac:dyDescent="0.35">
      <c r="A90" s="2" t="s">
        <v>49</v>
      </c>
      <c r="B90" s="13" t="s">
        <v>50</v>
      </c>
      <c r="C90" s="13" t="s">
        <v>15</v>
      </c>
      <c r="D90" s="9"/>
      <c r="E90" s="9"/>
      <c r="F90" s="9">
        <v>1</v>
      </c>
      <c r="G90" s="9">
        <v>1</v>
      </c>
      <c r="H90" s="9"/>
      <c r="I90" s="9" t="s">
        <v>46</v>
      </c>
      <c r="J90" s="3">
        <v>2</v>
      </c>
      <c r="K90" s="3" t="s">
        <v>17</v>
      </c>
      <c r="L90" s="24" t="s">
        <v>256</v>
      </c>
      <c r="M90" s="24" t="s">
        <v>40</v>
      </c>
      <c r="N90" s="24">
        <f t="shared" si="5"/>
        <v>2</v>
      </c>
    </row>
    <row r="91" spans="1:14" ht="29" x14ac:dyDescent="0.35">
      <c r="A91" s="2" t="s">
        <v>51</v>
      </c>
      <c r="B91" s="13" t="s">
        <v>52</v>
      </c>
      <c r="C91" s="13" t="s">
        <v>43</v>
      </c>
      <c r="D91" s="9">
        <v>1</v>
      </c>
      <c r="E91" s="9"/>
      <c r="F91" s="9"/>
      <c r="G91" s="9"/>
      <c r="H91" s="9"/>
      <c r="I91" s="9" t="s">
        <v>16</v>
      </c>
      <c r="J91" s="3">
        <v>2</v>
      </c>
      <c r="K91" s="3" t="s">
        <v>29</v>
      </c>
      <c r="L91" s="24" t="s">
        <v>256</v>
      </c>
      <c r="M91" s="24" t="s">
        <v>40</v>
      </c>
      <c r="N91" s="24">
        <f t="shared" si="5"/>
        <v>1</v>
      </c>
    </row>
    <row r="92" spans="1:14" x14ac:dyDescent="0.35">
      <c r="A92" s="19" t="s">
        <v>210</v>
      </c>
      <c r="B92" s="20"/>
      <c r="C92" s="20"/>
      <c r="D92" s="26">
        <f>SUBTOTAL(109,D2:D91)</f>
        <v>28</v>
      </c>
      <c r="E92" s="26">
        <f>SUBTOTAL(109,E2:E91)</f>
        <v>57</v>
      </c>
      <c r="F92" s="26">
        <f>SUBTOTAL(109,F2:F91)</f>
        <v>55</v>
      </c>
      <c r="G92" s="26">
        <f>SUBTOTAL(109,G2:G91)</f>
        <v>36</v>
      </c>
      <c r="H92" s="26">
        <f>SUBTOTAL(109,H2:H91)</f>
        <v>35</v>
      </c>
      <c r="I92" s="26"/>
      <c r="J92" s="27"/>
      <c r="K92" s="27"/>
      <c r="L92" s="28"/>
      <c r="M92" s="28"/>
      <c r="N92" s="28"/>
    </row>
    <row r="95" spans="1:14" x14ac:dyDescent="0.35">
      <c r="D95" s="31"/>
      <c r="E95" s="31"/>
      <c r="F95" s="31"/>
    </row>
    <row r="100" spans="2:6" x14ac:dyDescent="0.35">
      <c r="B100"/>
      <c r="C100" s="8" t="s">
        <v>217</v>
      </c>
      <c r="D100" s="8" t="s">
        <v>218</v>
      </c>
      <c r="E100" s="8" t="s">
        <v>219</v>
      </c>
      <c r="F100" s="31" t="s">
        <v>36</v>
      </c>
    </row>
    <row r="101" spans="2:6" x14ac:dyDescent="0.35">
      <c r="B101" t="s">
        <v>237</v>
      </c>
      <c r="C101" s="6">
        <f>COUNTIF($L$2:$L$91,"Administrative")</f>
        <v>2</v>
      </c>
      <c r="D101" s="6">
        <f>COUNTIFS($L$2:$L$91,"Administrative",$K$2:$K$91,"*On*")</f>
        <v>2</v>
      </c>
      <c r="E101" s="6">
        <f>COUNTIFS($L$2:$L$91,"Administrative",$K$2:$K$91,"*Off*")</f>
        <v>0</v>
      </c>
      <c r="F101" s="6">
        <f>COUNTIFS($L$2:$L$91,"Administrative",$K$2:$K$91,"Off/Onshore")</f>
        <v>0</v>
      </c>
    </row>
    <row r="102" spans="2:6" x14ac:dyDescent="0.35">
      <c r="B102" t="s">
        <v>256</v>
      </c>
      <c r="C102" s="6">
        <f>COUNTIF($L$2:$L$91,"Communications &amp; IT")</f>
        <v>6</v>
      </c>
      <c r="D102" s="6">
        <f>COUNTIFS($L$2:$L$91,"Communications &amp; IT",$K$2:$K$91,"*on*")</f>
        <v>5</v>
      </c>
      <c r="E102" s="6">
        <f>COUNTIFS($L$2:$L$91,"Communications &amp; IT",$K$2:$K$91,"*off*")</f>
        <v>1</v>
      </c>
      <c r="F102" s="6">
        <f>COUNTIFS($L$2:$L$91,"Communications &amp; IT",$K$2:$K$91,"Off/Onshore")</f>
        <v>0</v>
      </c>
    </row>
    <row r="103" spans="2:6" x14ac:dyDescent="0.35">
      <c r="B103" t="s">
        <v>245</v>
      </c>
      <c r="C103" s="6">
        <f>COUNTIF($L$2:$L$91,"Construction")</f>
        <v>1</v>
      </c>
      <c r="D103" s="6">
        <f>COUNTIFS($L$2:$L$91,"Construction",$K$2:$K$91,"*on*")</f>
        <v>1</v>
      </c>
      <c r="E103" s="6">
        <f>COUNTIFS($L$2:$L$91,"Construction",$K$2:$K$91,"*off*")</f>
        <v>0</v>
      </c>
      <c r="F103" s="6">
        <f>COUNTIFS($L$2:$L$91,"Construction",$K$2:$K$91,"Off/Onshore")</f>
        <v>0</v>
      </c>
    </row>
    <row r="104" spans="2:6" x14ac:dyDescent="0.35">
      <c r="B104" t="s">
        <v>18</v>
      </c>
      <c r="C104" s="6">
        <f>COUNTIF($L$2:$L$91,"Consultancy")</f>
        <v>8</v>
      </c>
      <c r="D104" s="6">
        <f>COUNTIFS($L$2:$L$91,"Consultancy",$K$2:$K$91,"*on*")</f>
        <v>5</v>
      </c>
      <c r="E104" s="6">
        <f>COUNTIFS($L$2:$L$91,"Consultancy",$K$2:$K$91,"*off*")</f>
        <v>4</v>
      </c>
      <c r="F104" s="6">
        <f>COUNTIFS($L$2:$L$91,"Consultancy",$K$2:$K$91,"Off/Onshore")</f>
        <v>1</v>
      </c>
    </row>
    <row r="105" spans="2:6" x14ac:dyDescent="0.35">
      <c r="B105" t="s">
        <v>248</v>
      </c>
      <c r="C105" s="6">
        <f>COUNTIF($L$2:$L$91,"Electrical trades")</f>
        <v>1</v>
      </c>
      <c r="D105" s="6">
        <f>COUNTIFS($L$2:$L$91,"Electrical trades",$K$2:$K$91,"*on*")</f>
        <v>1</v>
      </c>
      <c r="E105" s="6">
        <f>COUNTIFS($L$2:$L$91,"Electrical trades",$K$2:$K$91,"*off*")</f>
        <v>1</v>
      </c>
      <c r="F105" s="6">
        <f>COUNTIFS($L$2:$L$91,"Electrical trades",$K$2:$K$91,"Off/Onshore")</f>
        <v>1</v>
      </c>
    </row>
    <row r="106" spans="2:6" x14ac:dyDescent="0.35">
      <c r="B106" t="s">
        <v>249</v>
      </c>
      <c r="C106" s="6">
        <f>COUNTIF($L$2:$L$91,"Engineering")</f>
        <v>9</v>
      </c>
      <c r="D106" s="6">
        <f>COUNTIFS($L$2:$L$91,"Engineering",$K$2:$K$91,"*on*")</f>
        <v>8</v>
      </c>
      <c r="E106" s="6">
        <f>COUNTIFS($L$2:$L$91,"Engineering",$K$2:$K$91,"*off*")</f>
        <v>6</v>
      </c>
      <c r="F106" s="6">
        <f>COUNTIFS($L$2:$L$91,"Engineering",$K$2:$K$91,"Off/Onshore")</f>
        <v>5</v>
      </c>
    </row>
    <row r="107" spans="2:6" x14ac:dyDescent="0.35">
      <c r="B107" t="s">
        <v>233</v>
      </c>
      <c r="C107" s="6">
        <f>COUNTIF($L$2:$L$91,"Finance")</f>
        <v>1</v>
      </c>
      <c r="D107" s="6">
        <f>COUNTIFS($L$2:$L$91,"Finance",$K$2:$K$91,"*on*")</f>
        <v>1</v>
      </c>
      <c r="E107" s="6">
        <f>COUNTIFS($L$2:$L$91,"Finance",$K$2:$K$91,"*off*")</f>
        <v>0</v>
      </c>
      <c r="F107" s="6">
        <f>COUNTIFS($L$2:$L$91,"Finance",$K$2:$K$91,"Off/Onshore")</f>
        <v>0</v>
      </c>
    </row>
    <row r="108" spans="2:6" x14ac:dyDescent="0.35">
      <c r="B108" t="s">
        <v>238</v>
      </c>
      <c r="C108" s="6">
        <f>COUNTIF($L$2:$L$91,"Health &amp; Safety")</f>
        <v>2</v>
      </c>
      <c r="D108" s="6">
        <f>COUNTIFS($L$2:$L$91,"Health &amp; Safety",$K$2:$K$91,"*on*")</f>
        <v>1</v>
      </c>
      <c r="E108" s="6">
        <f>COUNTIFS($L$2:$L$91,"Health &amp; Safety",$K$2:$K$91,"*off*")</f>
        <v>2</v>
      </c>
      <c r="F108" s="6">
        <f>COUNTIFS($L$2:$L$91,"Health &amp; Safety",$K$2:$K$91,"Off/Onshore")</f>
        <v>1</v>
      </c>
    </row>
    <row r="109" spans="2:6" x14ac:dyDescent="0.35">
      <c r="B109" t="s">
        <v>234</v>
      </c>
      <c r="C109" s="6">
        <f>COUNTIF($L$2:$L$91,"Legal")</f>
        <v>1</v>
      </c>
      <c r="D109" s="6">
        <f>COUNTIFS($L$2:$L$91,"Legal",$K$2:$K$91,"*on*")</f>
        <v>1</v>
      </c>
      <c r="E109" s="6">
        <f>COUNTIFS($L$2:$L$91,"Legal",$K$2:$K$91,"*off*")</f>
        <v>0</v>
      </c>
      <c r="F109" s="6">
        <f>COUNTIFS($L$2:$L$91,"Legal",$K$2:$K$91,"Off/Onshore")</f>
        <v>0</v>
      </c>
    </row>
    <row r="110" spans="2:6" x14ac:dyDescent="0.35">
      <c r="B110" t="s">
        <v>242</v>
      </c>
      <c r="C110" s="6">
        <f>COUNTIF($L$2:$L$91,"Machine operatives")</f>
        <v>5</v>
      </c>
      <c r="D110" s="6">
        <f>COUNTIFS($L$2:$L$91,"Machine operatives",$K$2:$K$91,"*on*")</f>
        <v>4</v>
      </c>
      <c r="E110" s="6">
        <f>COUNTIFS($L$2:$L$91,"Machine operatives",$K$2:$K$91,"*off*")</f>
        <v>1</v>
      </c>
      <c r="F110" s="6">
        <f>COUNTIFS($L$2:$L$91,"Machine operatives",$K$2:$K$91,"Off/Onshore")</f>
        <v>0</v>
      </c>
    </row>
    <row r="111" spans="2:6" x14ac:dyDescent="0.35">
      <c r="B111" t="s">
        <v>229</v>
      </c>
      <c r="C111" s="6">
        <f>COUNTIF($L$2:$L$91,"Management")</f>
        <v>10</v>
      </c>
      <c r="D111" s="6">
        <f>COUNTIFS($L$2:$L$91,"Management",$K$2:$K$91,"*on*")</f>
        <v>10</v>
      </c>
      <c r="E111" s="6">
        <f>COUNTIFS($L$2:$L$91,"Management",$K$2:$K$91,"*off*")</f>
        <v>1</v>
      </c>
      <c r="F111" s="6">
        <f>COUNTIFS($L$2:$L$91,"Management",$K$2:$K$91,"Off/Onshore")</f>
        <v>1</v>
      </c>
    </row>
    <row r="112" spans="2:6" x14ac:dyDescent="0.35">
      <c r="B112" t="s">
        <v>230</v>
      </c>
      <c r="C112" s="6">
        <f>COUNTIF($L$2:$L$91,"Planning")</f>
        <v>1</v>
      </c>
      <c r="D112" s="6">
        <f>COUNTIFS($L$2:$L$91,"Planning",$K$2:$K$91,"*on*")</f>
        <v>1</v>
      </c>
      <c r="E112" s="6">
        <f>COUNTIFS($L$2:$L$91,"Planning",$K$2:$K$91,"*off*")</f>
        <v>0</v>
      </c>
      <c r="F112" s="6">
        <f>COUNTIFS($L$2:$L$91,"Planning",$K$2:$K$91,"Off/Onshore")</f>
        <v>0</v>
      </c>
    </row>
    <row r="113" spans="2:6" x14ac:dyDescent="0.35">
      <c r="B113" t="s">
        <v>254</v>
      </c>
      <c r="C113" s="6">
        <f>COUNTIF($L$2:$L$91,"Port operations")</f>
        <v>6</v>
      </c>
      <c r="D113" s="6">
        <f>COUNTIFS($L$2:$L$91,"Port operations",$K$2:$K$91,"*on*")</f>
        <v>6</v>
      </c>
      <c r="E113" s="6">
        <f>COUNTIFS($L$2:$L$91,"Port operations",$K$2:$K$91,"*off*")</f>
        <v>0</v>
      </c>
      <c r="F113" s="6">
        <f>COUNTIFS($L$2:$L$91,"Port operations",$K$2:$K$91,"Off/Onshore")</f>
        <v>0</v>
      </c>
    </row>
    <row r="114" spans="2:6" x14ac:dyDescent="0.35">
      <c r="B114" t="s">
        <v>231</v>
      </c>
      <c r="C114" s="6">
        <f>COUNTIF($L$2:$L$91,"Procurement")</f>
        <v>1</v>
      </c>
      <c r="D114" s="6">
        <f>COUNTIFS($L$2:$L$91,"Procurement",$K$2:$K$91,"*on*")</f>
        <v>1</v>
      </c>
      <c r="E114" s="6">
        <f>COUNTIFS($L$2:$L$91,"Procurement",$K$2:$K$91,"*off*")</f>
        <v>0</v>
      </c>
      <c r="F114" s="6">
        <f>COUNTIFS($L$2:$L$91,"Procurement",$K$2:$K$91,"Off/Onshore")</f>
        <v>0</v>
      </c>
    </row>
    <row r="115" spans="2:6" x14ac:dyDescent="0.35">
      <c r="B115" t="s">
        <v>236</v>
      </c>
      <c r="C115" s="6">
        <f>COUNTIF($L$2:$L$91,"Public relations")</f>
        <v>1</v>
      </c>
      <c r="D115" s="6">
        <f>COUNTIFS($L$2:$L$91,"Public relations",$K$2:$K$91,"*on*")</f>
        <v>1</v>
      </c>
      <c r="E115" s="6">
        <f>COUNTIFS($L$2:$L$91,"Public relations",$K$2:$K$91,"*off*")</f>
        <v>0</v>
      </c>
      <c r="F115" s="6">
        <f>COUNTIFS($L$2:$L$91,"Public relations",$K$2:$K$91,"Off/Onshore")</f>
        <v>0</v>
      </c>
    </row>
    <row r="116" spans="2:6" x14ac:dyDescent="0.35">
      <c r="B116" t="s">
        <v>241</v>
      </c>
      <c r="C116" s="6">
        <f>COUNTIF($L$2:$L$91,"Quality &amp; Regulatory")</f>
        <v>1</v>
      </c>
      <c r="D116" s="6">
        <f>COUNTIFS($L$2:$L$91,"Quality &amp; Regulatory",$K$2:$K$91,"*on*")</f>
        <v>1</v>
      </c>
      <c r="E116" s="6">
        <f>COUNTIFS($L$2:$L$91,"Quality &amp; Regulatory",$K$2:$K$91,"*off*")</f>
        <v>0</v>
      </c>
      <c r="F116" s="6">
        <f>COUNTIFS($L$2:$L$91,"Quality &amp; Regulatory",$K$2:$K$91,"Off/Onshore")</f>
        <v>0</v>
      </c>
    </row>
    <row r="117" spans="2:6" x14ac:dyDescent="0.35">
      <c r="B117" t="s">
        <v>232</v>
      </c>
      <c r="C117" s="6">
        <f>COUNTIF($L$2:$L$91,"Sales")</f>
        <v>2</v>
      </c>
      <c r="D117" s="6">
        <f>COUNTIFS($L$2:$L$91,"Sales",$K$2:$K$91,"*on*")</f>
        <v>2</v>
      </c>
      <c r="E117" s="6">
        <f>COUNTIFS($L$2:$L$91,"Sales",$K$2:$K$91,"*off*")</f>
        <v>0</v>
      </c>
      <c r="F117" s="6">
        <f>COUNTIFS($L$2:$L$91,"Sales",$K$2:$K$91,"Off/Onshore")</f>
        <v>0</v>
      </c>
    </row>
    <row r="118" spans="2:6" x14ac:dyDescent="0.35">
      <c r="B118" t="s">
        <v>252</v>
      </c>
      <c r="C118" s="6">
        <f>COUNTIF($L$2:$L$91,"Ship operations")</f>
        <v>6</v>
      </c>
      <c r="D118" s="6">
        <f>COUNTIFS($L$2:$L$91,"Ship operations",$K$2:$K$91,"*on*")</f>
        <v>3</v>
      </c>
      <c r="E118" s="6">
        <f>COUNTIFS($L$2:$L$91,"Ship operations",$K$2:$K$91,"*off*")</f>
        <v>5</v>
      </c>
      <c r="F118" s="6">
        <f>COUNTIFS($L$2:$L$91,"Ship operations",$K$2:$K$91,"Off/Onshore")</f>
        <v>2</v>
      </c>
    </row>
    <row r="119" spans="2:6" x14ac:dyDescent="0.35">
      <c r="B119" t="s">
        <v>247</v>
      </c>
      <c r="C119" s="6">
        <f>COUNTIF($L$2:$L$91,"Skilled trades")</f>
        <v>8</v>
      </c>
      <c r="D119" s="6">
        <f>COUNTIFS($L$2:$L$91,"Skilled trades",$K$2:$K$91,"*on*")</f>
        <v>7</v>
      </c>
      <c r="E119" s="6">
        <f>COUNTIFS($L$2:$L$91,"Skilled trades",$K$2:$K$91,"*off*")</f>
        <v>7</v>
      </c>
      <c r="F119" s="6">
        <f>COUNTIFS($L$2:$L$91,"Skilled trades",$K$2:$K$91,"Off/Onshore")</f>
        <v>6</v>
      </c>
    </row>
    <row r="120" spans="2:6" x14ac:dyDescent="0.35">
      <c r="B120" t="s">
        <v>253</v>
      </c>
      <c r="C120" s="6">
        <f>COUNTIF($L$2:$L$91,"Subsea operations")</f>
        <v>2</v>
      </c>
      <c r="D120" s="6">
        <f>COUNTIFS($L$2:$L$91,"Subsea operations",$K$2:$K$91,"*on*")</f>
        <v>1</v>
      </c>
      <c r="E120" s="6">
        <f>COUNTIFS($L$2:$L$91,"Subsea operations",$K$2:$K$91,"*off*")</f>
        <v>2</v>
      </c>
      <c r="F120" s="6">
        <f>COUNTIFS($L$2:$L$91,"Subsea operations",$K$2:$K$91,"Off/Onshore")</f>
        <v>1</v>
      </c>
    </row>
    <row r="121" spans="2:6" x14ac:dyDescent="0.35">
      <c r="B121" t="s">
        <v>243</v>
      </c>
      <c r="C121" s="6">
        <f>COUNTIF($L$2:$L$91,"Technical roles")</f>
        <v>8</v>
      </c>
      <c r="D121" s="6">
        <f>COUNTIFS($L$2:$L$91,"Technical roles",$K$2:$K$91,"*on*")</f>
        <v>5</v>
      </c>
      <c r="E121" s="6">
        <f>COUNTIFS($L$2:$L$91,"Technical roles",$K$2:$K$91,"*off*")</f>
        <v>7</v>
      </c>
      <c r="F121" s="6">
        <f>COUNTIFS($L$2:$L$91,"Technical roles",$K$2:$K$91,"Off/Onshore")</f>
        <v>4</v>
      </c>
    </row>
    <row r="122" spans="2:6" x14ac:dyDescent="0.35">
      <c r="B122" t="s">
        <v>246</v>
      </c>
      <c r="C122" s="6">
        <f>COUNTIF($L$2:$L$91,"Transport &amp; Logistics")</f>
        <v>1</v>
      </c>
      <c r="D122" s="6">
        <f>COUNTIFS($L$2:$L$91,"Transport &amp; Logistics",$K$2:$K$91,"*on*")</f>
        <v>1</v>
      </c>
      <c r="E122" s="6">
        <f>COUNTIFS($L$2:$L$91,"Transport &amp; Logistics",$K$2:$K$91,"*off*")</f>
        <v>0</v>
      </c>
      <c r="F122" s="6">
        <f>COUNTIFS($L$2:$L$91,"Transport &amp; Logistics",$K$2:$K$91,"Off/Onshore")</f>
        <v>0</v>
      </c>
    </row>
    <row r="123" spans="2:6" x14ac:dyDescent="0.35">
      <c r="B123" s="4" t="s">
        <v>220</v>
      </c>
      <c r="C123" s="8">
        <f>SUM(C101:C122)</f>
        <v>83</v>
      </c>
      <c r="D123" s="8">
        <f>SUM(D101:D122)</f>
        <v>68</v>
      </c>
      <c r="E123" s="8">
        <f>SUM(E101:E122)</f>
        <v>37</v>
      </c>
      <c r="F123" s="8">
        <f>SUM(F101:F122)</f>
        <v>22</v>
      </c>
    </row>
    <row r="126" spans="2:6" x14ac:dyDescent="0.35">
      <c r="B126" s="20" t="s">
        <v>211</v>
      </c>
    </row>
    <row r="127" spans="2:6" x14ac:dyDescent="0.35">
      <c r="B127" s="13" t="s">
        <v>212</v>
      </c>
      <c r="C127" s="13">
        <f>COUNTIF($I$2:$I$91,"variable")</f>
        <v>37</v>
      </c>
    </row>
    <row r="128" spans="2:6" x14ac:dyDescent="0.35">
      <c r="B128" s="13" t="s">
        <v>46</v>
      </c>
      <c r="C128" s="13">
        <f>COUNTIF($I$2:$I$91,"HNC/HND")</f>
        <v>13</v>
      </c>
    </row>
    <row r="129" spans="2:6" x14ac:dyDescent="0.35">
      <c r="B129" s="13" t="s">
        <v>213</v>
      </c>
      <c r="C129" s="13">
        <f>COUNTIF($I$2:$I$91,"degree")</f>
        <v>30</v>
      </c>
    </row>
    <row r="130" spans="2:6" x14ac:dyDescent="0.35">
      <c r="B130" s="13" t="s">
        <v>214</v>
      </c>
      <c r="C130" s="13">
        <f>COUNTIF($I$2:$I$91,"post-grad")</f>
        <v>3</v>
      </c>
    </row>
    <row r="131" spans="2:6" x14ac:dyDescent="0.35">
      <c r="B131" s="20" t="s">
        <v>215</v>
      </c>
      <c r="C131" s="20">
        <f>SUM(C127:C130)</f>
        <v>83</v>
      </c>
    </row>
    <row r="133" spans="2:6" x14ac:dyDescent="0.35">
      <c r="B133" s="20" t="s">
        <v>216</v>
      </c>
    </row>
    <row r="134" spans="2:6" x14ac:dyDescent="0.35">
      <c r="B134" s="13">
        <v>1</v>
      </c>
      <c r="C134" s="13">
        <f>COUNTIF($J$2:$J$91,"1")</f>
        <v>19</v>
      </c>
    </row>
    <row r="135" spans="2:6" x14ac:dyDescent="0.35">
      <c r="B135" s="13">
        <v>2</v>
      </c>
      <c r="C135" s="13">
        <f>COUNTIF($J$2:$J$91,"2")</f>
        <v>25</v>
      </c>
    </row>
    <row r="136" spans="2:6" x14ac:dyDescent="0.35">
      <c r="B136" s="13">
        <v>5</v>
      </c>
      <c r="C136" s="13">
        <f>COUNTIF($J$2:$J$91,"5")</f>
        <v>37</v>
      </c>
    </row>
    <row r="137" spans="2:6" x14ac:dyDescent="0.35">
      <c r="B137" s="13">
        <v>10</v>
      </c>
      <c r="C137" s="13">
        <f>COUNTIF($J$2:$J$91,"10")</f>
        <v>2</v>
      </c>
    </row>
    <row r="138" spans="2:6" x14ac:dyDescent="0.35">
      <c r="B138" s="20" t="s">
        <v>215</v>
      </c>
      <c r="C138" s="20">
        <f>SUM(C134:C137)</f>
        <v>83</v>
      </c>
    </row>
    <row r="143" spans="2:6" x14ac:dyDescent="0.35">
      <c r="B143" s="36" t="s">
        <v>258</v>
      </c>
      <c r="C143" s="3"/>
      <c r="D143" s="3"/>
      <c r="E143" s="24"/>
      <c r="F143" s="24"/>
    </row>
    <row r="144" spans="2:6" x14ac:dyDescent="0.35">
      <c r="B144" s="9"/>
      <c r="C144" s="38" t="s">
        <v>217</v>
      </c>
      <c r="D144" s="38" t="s">
        <v>218</v>
      </c>
      <c r="E144" s="38" t="s">
        <v>219</v>
      </c>
      <c r="F144" s="35" t="s">
        <v>36</v>
      </c>
    </row>
    <row r="145" spans="2:6" x14ac:dyDescent="0.35">
      <c r="B145" t="s">
        <v>18</v>
      </c>
      <c r="C145" s="6">
        <f>COUNTIF($M$2:$M$91,"Consultancy")</f>
        <v>8</v>
      </c>
      <c r="D145" s="6">
        <f>COUNTIFS($M$2:$M$91,"Consultancy",$K$2:$K$91,"*on*")</f>
        <v>5</v>
      </c>
      <c r="E145" s="6">
        <f>COUNTIFS($M$2:$M$91,"Consultancy",$K$2:$K$91,"*off*")</f>
        <v>4</v>
      </c>
      <c r="F145" s="6">
        <f>COUNTIFS($M$2:$M$91,"Consultancy",$K$2:$K$91,"Off/Onshore")</f>
        <v>1</v>
      </c>
    </row>
    <row r="146" spans="2:6" x14ac:dyDescent="0.35">
      <c r="B146" t="s">
        <v>40</v>
      </c>
      <c r="C146" s="6">
        <f>COUNTIF($M$2:$M$91,"Data &amp; Communications")</f>
        <v>6</v>
      </c>
      <c r="D146" s="6">
        <f>COUNTIFS($M$2:$M$91,"Data &amp; Communications",$K$2:$K$91,"*on*")</f>
        <v>5</v>
      </c>
      <c r="E146" s="6">
        <f>COUNTIFS($M$2:$M$91,"Data &amp; Communications",$K$2:$K$91,"*off*")</f>
        <v>1</v>
      </c>
      <c r="F146" s="6">
        <f>COUNTIFS($M$2:$M$91,"Data &amp; Communications",$K$2:$K$91,"Off/Onshore")</f>
        <v>0</v>
      </c>
    </row>
    <row r="147" spans="2:6" x14ac:dyDescent="0.35">
      <c r="B147" t="s">
        <v>55</v>
      </c>
      <c r="C147" s="6">
        <f>COUNTIF($M$2:$M$91,"Engineering")</f>
        <v>8</v>
      </c>
      <c r="D147" s="6">
        <f>COUNTIFS($M$2:$M$91,"Engineering",$K$2:$K$91,"*on*")</f>
        <v>8</v>
      </c>
      <c r="E147" s="6">
        <f>COUNTIFS($M$2:$M$91,"Engineering",$K$2:$K$91,"*off*")</f>
        <v>4</v>
      </c>
      <c r="F147" s="6">
        <f>COUNTIFS($M$2:$M$91,"Engineering",$K$2:$K$91,"Off/Onshore")</f>
        <v>4</v>
      </c>
    </row>
    <row r="148" spans="2:6" x14ac:dyDescent="0.35">
      <c r="B148" t="s">
        <v>5</v>
      </c>
      <c r="C148" s="6">
        <f>COUNTIF($M$2:$M$91,"Installation &amp; Commissioning")</f>
        <v>13</v>
      </c>
      <c r="D148" s="6">
        <f>COUNTIFS($M$2:$M$91,"Installation &amp; Commissioning",$K$2:$K$91,"*on*")</f>
        <v>10</v>
      </c>
      <c r="E148" s="6">
        <f>COUNTIFS($M$2:$M$91,"Installation &amp; Commissioning",$K$2:$K$91,"*off*")</f>
        <v>10</v>
      </c>
      <c r="F148" s="6">
        <f>COUNTIFS($M$2:$M$91,"Installation &amp; Commissioning",$K$2:$K$91,"Off/Onshore")</f>
        <v>7</v>
      </c>
    </row>
    <row r="149" spans="2:6" x14ac:dyDescent="0.35">
      <c r="B149" t="s">
        <v>104</v>
      </c>
      <c r="C149" s="6">
        <f>COUNTIF($M$2:$M$91,"Manufacturing")</f>
        <v>11</v>
      </c>
      <c r="D149" s="6">
        <f>COUNTIFS($M$2:$M$91,"Manufacturing",$K$2:$K$91,"*on*")</f>
        <v>11</v>
      </c>
      <c r="E149" s="6">
        <f>COUNTIFS($M$2:$M$91,"Manufacturing",$K$2:$K$91,"*off*")</f>
        <v>3</v>
      </c>
      <c r="F149" s="6">
        <f>COUNTIFS($M$2:$M$91,"Manufacturing",$K$2:$K$91,"Off/Onshore")</f>
        <v>3</v>
      </c>
    </row>
    <row r="150" spans="2:6" x14ac:dyDescent="0.35">
      <c r="B150" t="s">
        <v>129</v>
      </c>
      <c r="C150" s="6">
        <f>COUNTIF($M$2:$M$91,"Maritime")</f>
        <v>15</v>
      </c>
      <c r="D150" s="6">
        <f>COUNTIFS($M$2:$M$91,"Maritime",$K$2:$K$91,"*on*")</f>
        <v>10</v>
      </c>
      <c r="E150" s="6">
        <f>COUNTIFS($M$2:$M$91,"Maritime",$K$2:$K$91,"*off*")</f>
        <v>8</v>
      </c>
      <c r="F150" s="6">
        <f>COUNTIFS($M$2:$M$91,"Maritime",$K$2:$K$91,"Off/Onshore")</f>
        <v>3</v>
      </c>
    </row>
    <row r="151" spans="2:6" x14ac:dyDescent="0.35">
      <c r="B151" t="s">
        <v>163</v>
      </c>
      <c r="C151" s="6">
        <f>COUNTIF($M$2:$M$91,"Operations &amp; Maintenance")</f>
        <v>7</v>
      </c>
      <c r="D151" s="6">
        <f>COUNTIFS($M$2:$M$91,"Operations &amp; Maintenance",$K$2:$K$91,"*on*")</f>
        <v>4</v>
      </c>
      <c r="E151" s="6">
        <f>COUNTIFS($M$2:$M$91,"Operations &amp; Maintenance",$K$2:$K$91,"*off*")</f>
        <v>5</v>
      </c>
      <c r="F151" s="6">
        <f>COUNTIFS($M$2:$M$91,"Operations &amp; Maintenance",$K$2:$K$91,"Off/Onshore")</f>
        <v>2</v>
      </c>
    </row>
    <row r="152" spans="2:6" x14ac:dyDescent="0.35">
      <c r="B152" t="s">
        <v>178</v>
      </c>
      <c r="C152" s="6">
        <f>COUNTIF($M$2:$M$91,"Project Development")</f>
        <v>6</v>
      </c>
      <c r="D152" s="6">
        <f>COUNTIFS($M$2:$M$91,"Project Development",$K$2:$K$91,"*on*")</f>
        <v>6</v>
      </c>
      <c r="E152" s="6">
        <f>COUNTIFS($M$2:$M$91,"Project Development",$K$2:$K$91,"*off")</f>
        <v>0</v>
      </c>
      <c r="F152" s="6">
        <f>COUNTIFS($M$2:$M$91,"Project Development",$K$2:$K$91,"Off/Onshore")</f>
        <v>0</v>
      </c>
    </row>
    <row r="153" spans="2:6" x14ac:dyDescent="0.35">
      <c r="B153" t="s">
        <v>193</v>
      </c>
      <c r="C153" s="6">
        <f>COUNTIF($M$2:$M$91,"Project Management")</f>
        <v>9</v>
      </c>
      <c r="D153" s="6">
        <f>COUNTIFS($M$2:$M$91,"Project Management",$K$2:$K$91,"*on*")</f>
        <v>9</v>
      </c>
      <c r="E153" s="6">
        <f>COUNTIFS($M$2:$M$91,"Project Management",$K$2:$K$91,"*off*")</f>
        <v>2</v>
      </c>
      <c r="F153" s="6">
        <f>COUNTIFS($M$2:$M$91,"Project Management",$K$2:$K$91,"Off/Onshore")</f>
        <v>2</v>
      </c>
    </row>
    <row r="154" spans="2:6" x14ac:dyDescent="0.35">
      <c r="B154" s="37" t="s">
        <v>220</v>
      </c>
      <c r="C154" s="39">
        <f>SUM(C145:C153)</f>
        <v>83</v>
      </c>
      <c r="D154" s="39">
        <f>SUM(D145:D153)</f>
        <v>68</v>
      </c>
      <c r="E154" s="39">
        <f>SUM(E145:E153)</f>
        <v>37</v>
      </c>
      <c r="F154" s="39">
        <f>SUM(F145:F153)</f>
        <v>22</v>
      </c>
    </row>
    <row r="155" spans="2:6" x14ac:dyDescent="0.35">
      <c r="B155" s="9"/>
      <c r="C155" s="3"/>
      <c r="D155" s="3"/>
      <c r="E155" s="24"/>
      <c r="F155" s="24"/>
    </row>
  </sheetData>
  <conditionalFormatting sqref="J2:J98 C155 C143 J113:J1048576">
    <cfRule type="colorScale" priority="1">
      <colorScale>
        <cfvo type="min"/>
        <cfvo type="percentile" val="50"/>
        <cfvo type="max"/>
        <color rgb="FF00B050"/>
        <color rgb="FFFFEB84"/>
        <color theme="5"/>
      </colorScale>
    </cfRule>
    <cfRule type="colorScale" priority="2">
      <colorScale>
        <cfvo type="min"/>
        <cfvo type="percentile" val="50"/>
        <cfvo type="max"/>
        <color rgb="FFF8696B"/>
        <color rgb="FFFFEB84"/>
        <color rgb="FF63BE7B"/>
      </colorScale>
    </cfRule>
  </conditionalFormatting>
  <conditionalFormatting sqref="K2:K92">
    <cfRule type="containsText" dxfId="2" priority="3" operator="containsText" text="/">
      <formula>NOT(ISERROR(SEARCH("/",K2)))</formula>
    </cfRule>
    <cfRule type="containsText" dxfId="1" priority="4" operator="containsText" text="Off">
      <formula>NOT(ISERROR(SEARCH("Off",K2)))</formula>
    </cfRule>
    <cfRule type="containsText" dxfId="0" priority="5" operator="containsText" text="On">
      <formula>NOT(ISERROR(SEARCH("On",K2)))</formula>
    </cfRule>
  </conditionalFormatting>
  <dataValidations count="2">
    <dataValidation type="list" allowBlank="1" showInputMessage="1" showErrorMessage="1" sqref="M2:M91" xr:uid="{BBEB57DA-7645-4875-A434-042B469DF189}">
      <formula1>#REF!</formula1>
    </dataValidation>
    <dataValidation type="list" allowBlank="1" showInputMessage="1" showErrorMessage="1" sqref="I3:L91" xr:uid="{C29A8EB8-411D-455D-872B-B129EED87D84}">
      <formula1>#REF!</formula1>
    </dataValidation>
  </dataValidations>
  <pageMargins left="0.7" right="0.7" top="0.75" bottom="0.75" header="0.3" footer="0.3"/>
  <pageSetup orientation="portrait"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Share_PermanentPreservation xmlns="184af400-6cf4-4be6-9056-547874e8c8ee">false</IShare_PermanentPreservation>
    <TaxKeywordTaxHTField xmlns="184af400-6cf4-4be6-9056-547874e8c8ee">
      <Terms xmlns="http://schemas.microsoft.com/office/infopath/2007/PartnerControls"/>
    </TaxKeywordTaxHTField>
    <IShare_Region xmlns="184af400-6cf4-4be6-9056-547874e8c8ee" xsi:nil="true"/>
    <lcf76f155ced4ddcb4097134ff3c332f xmlns="be81cff9-073b-4d2c-ac50-d802ee4bfc8f">
      <Terms xmlns="http://schemas.microsoft.com/office/infopath/2007/PartnerControls"/>
    </lcf76f155ced4ddcb4097134ff3c332f>
    <IShare_Status xmlns="184af400-6cf4-4be6-9056-547874e8c8ee">Active</IShare_Status>
    <IShare_InfoClassification xmlns="184af400-6cf4-4be6-9056-547874e8c8ee">Internal</IShare_InfoClassification>
    <IShare_PersonalData xmlns="184af400-6cf4-4be6-9056-547874e8c8ee">false</IShare_PersonalData>
    <IShare_DispositionDeletion xmlns="184af400-6cf4-4be6-9056-547874e8c8ee" xsi:nil="true"/>
    <TaxCatchAll xmlns="184af400-6cf4-4be6-9056-547874e8c8ee" xsi:nil="true"/>
    <IShare_BusinessOwner xmlns="184af400-6cf4-4be6-9056-547874e8c8e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SDS 3+1" ma:contentTypeID="0x0101002CFD50891A73487FBF1A841208B5DC0802007E198B6218C00548BFE1A630A084DE23" ma:contentTypeVersion="17" ma:contentTypeDescription="" ma:contentTypeScope="" ma:versionID="3cb9d93e06e5eb12d6787f564a0b495f">
  <xsd:schema xmlns:xsd="http://www.w3.org/2001/XMLSchema" xmlns:xs="http://www.w3.org/2001/XMLSchema" xmlns:p="http://schemas.microsoft.com/office/2006/metadata/properties" xmlns:ns2="184af400-6cf4-4be6-9056-547874e8c8ee" xmlns:ns3="be81cff9-073b-4d2c-ac50-d802ee4bfc8f" targetNamespace="http://schemas.microsoft.com/office/2006/metadata/properties" ma:root="true" ma:fieldsID="3de8809c96b96f57b1ebf1d266b410c2" ns2:_="" ns3:_="">
    <xsd:import namespace="184af400-6cf4-4be6-9056-547874e8c8ee"/>
    <xsd:import namespace="be81cff9-073b-4d2c-ac50-d802ee4bfc8f"/>
    <xsd:element name="properties">
      <xsd:complexType>
        <xsd:sequence>
          <xsd:element name="documentManagement">
            <xsd:complexType>
              <xsd:all>
                <xsd:element ref="ns2:IShare_Status"/>
                <xsd:element ref="ns2:IShare_BusinessOwner" minOccurs="0"/>
                <xsd:element ref="ns2:IShare_InfoClassification"/>
                <xsd:element ref="ns2:IShare_Region" minOccurs="0"/>
                <xsd:element ref="ns2:IShare_PersonalData"/>
                <xsd:element ref="ns2:IShare_PermanentPreservation" minOccurs="0"/>
                <xsd:element ref="ns2:IShare_DispositionDeletion" minOccurs="0"/>
                <xsd:element ref="ns2:TaxKeywordTaxHTField" minOccurs="0"/>
                <xsd:element ref="ns2:TaxCatchAll" minOccurs="0"/>
                <xsd:element ref="ns2:TaxCatchAllLabel"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lcf76f155ced4ddcb4097134ff3c332f" minOccurs="0"/>
                <xsd:element ref="ns3:MediaServiceOCR" minOccurs="0"/>
                <xsd:element ref="ns3:MediaServiceGenerationTime" minOccurs="0"/>
                <xsd:element ref="ns3:MediaServiceEventHashCode"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4af400-6cf4-4be6-9056-547874e8c8ee" elementFormDefault="qualified">
    <xsd:import namespace="http://schemas.microsoft.com/office/2006/documentManagement/types"/>
    <xsd:import namespace="http://schemas.microsoft.com/office/infopath/2007/PartnerControls"/>
    <xsd:element name="IShare_Status" ma:index="8" ma:displayName="Item Status" ma:default="Active" ma:internalName="IShare_Status">
      <xsd:simpleType>
        <xsd:restriction base="dms:Choice">
          <xsd:enumeration value="Active"/>
          <xsd:enumeration value="Archived"/>
        </xsd:restriction>
      </xsd:simpleType>
    </xsd:element>
    <xsd:element name="IShare_BusinessOwner" ma:index="9" nillable="true" ma:displayName="Business Owner" ma:internalName="IShare_BusinessOwner">
      <xsd:simpleType>
        <xsd:restriction base="dms:Text"/>
      </xsd:simpleType>
    </xsd:element>
    <xsd:element name="IShare_InfoClassification" ma:index="10" ma:displayName="Info Classification" ma:default="Internal" ma:internalName="IShare_InfoClassification">
      <xsd:simpleType>
        <xsd:restriction base="dms:Choice">
          <xsd:enumeration value="External"/>
          <xsd:enumeration value="Internal"/>
          <xsd:enumeration value="SDS Confidential"/>
        </xsd:restriction>
      </xsd:simpleType>
    </xsd:element>
    <xsd:element name="IShare_Region" ma:index="11" nillable="true" ma:displayName="Region" ma:format="Dropdown" ma:internalName="IShare_Region" ma:readOnly="false">
      <xsd:simpleType>
        <xsd:restriction base="dms:Choice">
          <xsd:enumeration value="Cross-Regional"/>
          <xsd:enumeration value="National"/>
          <xsd:enumeration value="North"/>
          <xsd:enumeration value="North East"/>
          <xsd:enumeration value="South East"/>
          <xsd:enumeration value="West region"/>
          <xsd:enumeration value="South West"/>
          <xsd:enumeration value="West"/>
          <xsd:enumeration value="National CIAG"/>
          <xsd:enumeration value="**Do not use the following**"/>
          <xsd:enumeration value="North region"/>
          <xsd:enumeration value="North East region"/>
          <xsd:enumeration value="Cross-regional CIAG"/>
          <xsd:enumeration value="South West region"/>
          <xsd:enumeration value="South East region"/>
        </xsd:restriction>
      </xsd:simpleType>
    </xsd:element>
    <xsd:element name="IShare_PersonalData" ma:index="12" ma:displayName="Personal Data" ma:default="0" ma:internalName="IShare_PersonalData">
      <xsd:simpleType>
        <xsd:restriction base="dms:Boolean"/>
      </xsd:simpleType>
    </xsd:element>
    <xsd:element name="IShare_PermanentPreservation" ma:index="13" nillable="true" ma:displayName="Permanent Preservation" ma:default="0" ma:internalName="IShare_PermanentPreservation">
      <xsd:simpleType>
        <xsd:restriction base="dms:Boolean"/>
      </xsd:simpleType>
    </xsd:element>
    <xsd:element name="IShare_DispositionDeletion" ma:index="14" nillable="true" ma:displayName="Disposition Deletion" ma:internalName="IShare_DispositionDeletion">
      <xsd:simpleType>
        <xsd:restriction base="dms:DateTime"/>
      </xsd:simpleType>
    </xsd:element>
    <xsd:element name="TaxKeywordTaxHTField" ma:index="15" nillable="true" ma:taxonomy="true" ma:internalName="TaxKeywordTaxHTField" ma:taxonomyFieldName="TaxKeyword" ma:displayName="Enterprise Keywords" ma:fieldId="{23f27201-bee3-471e-b2e7-b64fd8b7ca38}" ma:taxonomyMulti="true" ma:sspId="c6621819-13d1-4a2d-8762-4f615fabf62c" ma:termSetId="00000000-0000-0000-0000-000000000000" ma:anchorId="00000000-0000-0000-0000-000000000000" ma:open="true" ma:isKeyword="true">
      <xsd:complexType>
        <xsd:sequence>
          <xsd:element ref="pc:Terms" minOccurs="0" maxOccurs="1"/>
        </xsd:sequence>
      </xsd:complexType>
    </xsd:element>
    <xsd:element name="TaxCatchAll" ma:index="16" nillable="true" ma:displayName="Taxonomy Catch All Column" ma:hidden="true" ma:list="{825aea11-257d-416f-992b-dec2f85e4525}" ma:internalName="TaxCatchAll" ma:showField="CatchAllData" ma:web="184af400-6cf4-4be6-9056-547874e8c8ee">
      <xsd:complexType>
        <xsd:complexContent>
          <xsd:extension base="dms:MultiChoiceLookup">
            <xsd:sequence>
              <xsd:element name="Value" type="dms:Lookup" maxOccurs="unbounded" minOccurs="0" nillable="true"/>
            </xsd:sequence>
          </xsd:extension>
        </xsd:complexContent>
      </xsd:complexType>
    </xsd:element>
    <xsd:element name="TaxCatchAllLabel" ma:index="17" nillable="true" ma:displayName="Taxonomy Catch All Column1" ma:hidden="true" ma:list="{825aea11-257d-416f-992b-dec2f85e4525}" ma:internalName="TaxCatchAllLabel" ma:readOnly="true" ma:showField="CatchAllDataLabel" ma:web="184af400-6cf4-4be6-9056-547874e8c8ee">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e81cff9-073b-4d2c-ac50-d802ee4bfc8f"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ServiceDateTaken" ma:index="25" nillable="true" ma:displayName="MediaServiceDateTaken" ma:hidden="true" ma:internalName="MediaServiceDateTaken" ma:readOnly="true">
      <xsd:simpleType>
        <xsd:restriction base="dms:Text"/>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c6621819-13d1-4a2d-8762-4f615fabf62c" ma:termSetId="09814cd3-568e-fe90-9814-8d621ff8fb84" ma:anchorId="fba54fb3-c3e1-fe81-a776-ca4b69148c4d" ma:open="true" ma:isKeyword="false">
      <xsd:complexType>
        <xsd:sequence>
          <xsd:element ref="pc:Terms" minOccurs="0" maxOccurs="1"/>
        </xsd:sequence>
      </xsd:complexType>
    </xsd:element>
    <xsd:element name="MediaServiceOCR" ma:index="28" nillable="true" ma:displayName="Extracted Text" ma:internalName="MediaServiceOCR" ma:readOnly="true">
      <xsd:simpleType>
        <xsd:restriction base="dms:Note">
          <xsd:maxLength value="255"/>
        </xsd:restriction>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LengthInSeconds" ma:index="32" nillable="true" ma:displayName="MediaLengthInSeconds" ma:hidden="true" ma:internalName="MediaLengthInSeconds" ma:readOnly="true">
      <xsd:simpleType>
        <xsd:restriction base="dms:Unknown"/>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936D44-E675-4C3C-90E8-90871571214E}">
  <ds:schemaRefs>
    <ds:schemaRef ds:uri="http://schemas.microsoft.com/sharepoint/v3/contenttype/forms"/>
  </ds:schemaRefs>
</ds:datastoreItem>
</file>

<file path=customXml/itemProps2.xml><?xml version="1.0" encoding="utf-8"?>
<ds:datastoreItem xmlns:ds="http://schemas.openxmlformats.org/officeDocument/2006/customXml" ds:itemID="{65851F28-23C6-4492-9FB9-24E0AA856401}">
  <ds:schemaRefs>
    <ds:schemaRef ds:uri="184af400-6cf4-4be6-9056-547874e8c8ee"/>
    <ds:schemaRef ds:uri="http://purl.org/dc/dcmitype/"/>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be81cff9-073b-4d2c-ac50-d802ee4bfc8f"/>
    <ds:schemaRef ds:uri="http://www.w3.org/XML/1998/namespace"/>
    <ds:schemaRef ds:uri="http://purl.org/dc/terms/"/>
  </ds:schemaRefs>
</ds:datastoreItem>
</file>

<file path=customXml/itemProps3.xml><?xml version="1.0" encoding="utf-8"?>
<ds:datastoreItem xmlns:ds="http://schemas.openxmlformats.org/officeDocument/2006/customXml" ds:itemID="{1734126B-5686-457B-B0AD-5165716EF7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4af400-6cf4-4be6-9056-547874e8c8ee"/>
    <ds:schemaRef ds:uri="be81cff9-073b-4d2c-ac50-d802ee4bfc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Notes</vt:lpstr>
      <vt:lpstr>Job Descriptions</vt:lpstr>
      <vt:lpstr>Job Descriptions (alt)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Morrison</dc:creator>
  <cp:keywords/>
  <dc:description/>
  <cp:lastModifiedBy>Jennifer Queen</cp:lastModifiedBy>
  <cp:revision/>
  <dcterms:created xsi:type="dcterms:W3CDTF">2015-06-05T18:17:20Z</dcterms:created>
  <dcterms:modified xsi:type="dcterms:W3CDTF">2025-01-16T13:38:40Z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0x0101002CFD50891A73487FBF1A841208B5DC0802007E198B6218C00548BFE1A630A084DE23</vt:lpwstr>
  </property>
  <property fmtid="{D5CDD505-2E9C-101B-9397-08002B2CF9AE}" pid="3" name="TaxKeyword">
    <vt:lpwstr/>
  </property>
  <property fmtid="{D5CDD505-2E9C-101B-9397-08002B2CF9AE}" pid="4" name="MediaServiceImageTags">
    <vt:lpwstr/>
  </property>
</Properties>
</file>